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305" windowWidth="14805" windowHeight="8010" firstSheet="5" activeTab="8"/>
  </bookViews>
  <sheets>
    <sheet name="Wirtschaftlichkeiten" sheetId="1" r:id="rId1"/>
    <sheet name="Wirt. A1" sheetId="11" r:id="rId2"/>
    <sheet name="Wirt. A2" sheetId="12" r:id="rId3"/>
    <sheet name="JDL Variante B1" sheetId="2" r:id="rId4"/>
    <sheet name="Wirt. B1" sheetId="5" r:id="rId5"/>
    <sheet name="Wirt. B2" sheetId="13" r:id="rId6"/>
    <sheet name="JDL Variante C" sheetId="4" r:id="rId7"/>
    <sheet name="Wirt. C1" sheetId="6" r:id="rId8"/>
    <sheet name="Wirt. C2" sheetId="8" r:id="rId9"/>
  </sheets>
  <calcPr calcId="152511" iterate="1" iterateCount="25000"/>
</workbook>
</file>

<file path=xl/calcChain.xml><?xml version="1.0" encoding="utf-8"?>
<calcChain xmlns="http://schemas.openxmlformats.org/spreadsheetml/2006/main">
  <c r="D57" i="8" l="1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I45" i="8"/>
  <c r="C40" i="8"/>
  <c r="E56" i="8" s="1"/>
  <c r="C37" i="8"/>
  <c r="E55" i="8" s="1"/>
  <c r="F55" i="8" s="1"/>
  <c r="D55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I44" i="6"/>
  <c r="C39" i="6"/>
  <c r="E54" i="6" s="1"/>
  <c r="C36" i="6"/>
  <c r="E53" i="6" s="1"/>
  <c r="C39" i="5"/>
  <c r="G56" i="8" l="1"/>
  <c r="F56" i="8"/>
  <c r="G55" i="8"/>
  <c r="E57" i="8"/>
  <c r="G53" i="6"/>
  <c r="F53" i="6"/>
  <c r="E55" i="6"/>
  <c r="G55" i="6" s="1"/>
  <c r="I45" i="6" s="1"/>
  <c r="F54" i="6"/>
  <c r="G54" i="6"/>
  <c r="D36" i="13"/>
  <c r="C6" i="13"/>
  <c r="E34" i="13" s="1"/>
  <c r="C10" i="13"/>
  <c r="C9" i="13"/>
  <c r="G27" i="13"/>
  <c r="G28" i="13"/>
  <c r="G29" i="13"/>
  <c r="G30" i="13"/>
  <c r="G31" i="13"/>
  <c r="G32" i="13"/>
  <c r="G33" i="13"/>
  <c r="F27" i="13"/>
  <c r="F28" i="13"/>
  <c r="F29" i="13"/>
  <c r="F30" i="13"/>
  <c r="F31" i="13"/>
  <c r="F32" i="13"/>
  <c r="F33" i="13"/>
  <c r="D24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I14" i="13"/>
  <c r="D16" i="12"/>
  <c r="C6" i="12"/>
  <c r="C5" i="12"/>
  <c r="I14" i="12"/>
  <c r="G14" i="12"/>
  <c r="F14" i="12"/>
  <c r="G13" i="12"/>
  <c r="F13" i="12"/>
  <c r="G12" i="12"/>
  <c r="F12" i="12"/>
  <c r="G11" i="12"/>
  <c r="F11" i="12"/>
  <c r="G10" i="12"/>
  <c r="F10" i="12"/>
  <c r="D15" i="11"/>
  <c r="C6" i="11"/>
  <c r="C5" i="11"/>
  <c r="I14" i="11"/>
  <c r="G13" i="11"/>
  <c r="F13" i="11"/>
  <c r="G12" i="11"/>
  <c r="F12" i="11"/>
  <c r="G11" i="11"/>
  <c r="F11" i="11"/>
  <c r="C7" i="8"/>
  <c r="E25" i="8" s="1"/>
  <c r="C10" i="8"/>
  <c r="C11" i="8"/>
  <c r="D27" i="8"/>
  <c r="G17" i="8"/>
  <c r="G18" i="8"/>
  <c r="G19" i="8"/>
  <c r="G20" i="8"/>
  <c r="G21" i="8"/>
  <c r="G22" i="8"/>
  <c r="G23" i="8"/>
  <c r="G24" i="8"/>
  <c r="F18" i="8"/>
  <c r="F19" i="8"/>
  <c r="F20" i="8"/>
  <c r="F21" i="8"/>
  <c r="F22" i="8"/>
  <c r="F23" i="8"/>
  <c r="F24" i="8"/>
  <c r="F17" i="8"/>
  <c r="F18" i="6"/>
  <c r="F19" i="6"/>
  <c r="F20" i="6"/>
  <c r="F21" i="6"/>
  <c r="F22" i="6"/>
  <c r="F23" i="6"/>
  <c r="F17" i="6"/>
  <c r="I15" i="8"/>
  <c r="D26" i="6"/>
  <c r="C10" i="6"/>
  <c r="G23" i="6"/>
  <c r="G22" i="6"/>
  <c r="G21" i="6"/>
  <c r="G20" i="6"/>
  <c r="G19" i="6"/>
  <c r="G18" i="6"/>
  <c r="G17" i="6"/>
  <c r="D26" i="5"/>
  <c r="C7" i="6"/>
  <c r="E24" i="6" s="1"/>
  <c r="F24" i="6" s="1"/>
  <c r="C11" i="6"/>
  <c r="I15" i="6"/>
  <c r="C35" i="5"/>
  <c r="C38" i="5"/>
  <c r="D54" i="5"/>
  <c r="F46" i="5"/>
  <c r="F47" i="5"/>
  <c r="F48" i="5"/>
  <c r="F49" i="5"/>
  <c r="F50" i="5"/>
  <c r="F51" i="5"/>
  <c r="G46" i="5"/>
  <c r="G47" i="5"/>
  <c r="G48" i="5"/>
  <c r="G49" i="5"/>
  <c r="G50" i="5"/>
  <c r="G51" i="5"/>
  <c r="G45" i="5"/>
  <c r="G17" i="5"/>
  <c r="G18" i="5"/>
  <c r="G19" i="5"/>
  <c r="G20" i="5"/>
  <c r="G21" i="5"/>
  <c r="G22" i="5"/>
  <c r="G23" i="5"/>
  <c r="F17" i="5"/>
  <c r="G57" i="8" l="1"/>
  <c r="I46" i="8" s="1"/>
  <c r="F57" i="8"/>
  <c r="M38" i="6"/>
  <c r="M34" i="6"/>
  <c r="M46" i="6"/>
  <c r="M42" i="6"/>
  <c r="F55" i="6"/>
  <c r="F34" i="13"/>
  <c r="G34" i="13"/>
  <c r="E23" i="13"/>
  <c r="E35" i="13"/>
  <c r="F35" i="13" s="1"/>
  <c r="E15" i="12"/>
  <c r="G15" i="12" s="1"/>
  <c r="E14" i="11"/>
  <c r="E15" i="11" s="1"/>
  <c r="G15" i="11" s="1"/>
  <c r="I15" i="11" s="1"/>
  <c r="G25" i="8"/>
  <c r="F25" i="8"/>
  <c r="E26" i="8"/>
  <c r="G24" i="6"/>
  <c r="E25" i="6"/>
  <c r="F25" i="6" s="1"/>
  <c r="F18" i="5"/>
  <c r="F19" i="5"/>
  <c r="F20" i="5"/>
  <c r="F21" i="5"/>
  <c r="F22" i="5"/>
  <c r="F23" i="5"/>
  <c r="C11" i="5"/>
  <c r="C10" i="5"/>
  <c r="C7" i="5"/>
  <c r="E24" i="5" s="1"/>
  <c r="G24" i="5" s="1"/>
  <c r="E53" i="5"/>
  <c r="E52" i="5"/>
  <c r="F45" i="5"/>
  <c r="I43" i="5"/>
  <c r="I15" i="5"/>
  <c r="B15" i="4"/>
  <c r="M11" i="4"/>
  <c r="G11" i="4"/>
  <c r="E11" i="4"/>
  <c r="C11" i="4"/>
  <c r="B5" i="4"/>
  <c r="N11" i="4" s="1"/>
  <c r="B4" i="4"/>
  <c r="N10" i="4" s="1"/>
  <c r="N13" i="4" s="1"/>
  <c r="E15" i="4" s="1"/>
  <c r="B3" i="4"/>
  <c r="M39" i="8" l="1"/>
  <c r="M35" i="8"/>
  <c r="M47" i="8"/>
  <c r="M43" i="8"/>
  <c r="G35" i="13"/>
  <c r="E36" i="13"/>
  <c r="F36" i="13" s="1"/>
  <c r="G23" i="13"/>
  <c r="G24" i="13" s="1"/>
  <c r="E24" i="13"/>
  <c r="F23" i="13"/>
  <c r="F24" i="13" s="1"/>
  <c r="E16" i="12"/>
  <c r="G16" i="12" s="1"/>
  <c r="I15" i="12" s="1"/>
  <c r="M4" i="12" s="1"/>
  <c r="F15" i="12"/>
  <c r="F14" i="11"/>
  <c r="F15" i="11"/>
  <c r="G14" i="11"/>
  <c r="M12" i="11"/>
  <c r="M4" i="11"/>
  <c r="M8" i="11"/>
  <c r="F26" i="8"/>
  <c r="G26" i="8"/>
  <c r="G25" i="6"/>
  <c r="E27" i="8"/>
  <c r="E26" i="6"/>
  <c r="G52" i="5"/>
  <c r="F52" i="5"/>
  <c r="F53" i="5"/>
  <c r="G53" i="5"/>
  <c r="F24" i="5"/>
  <c r="E25" i="5"/>
  <c r="G25" i="5" s="1"/>
  <c r="E54" i="5"/>
  <c r="K11" i="4"/>
  <c r="I11" i="4"/>
  <c r="I10" i="4" s="1"/>
  <c r="I13" i="4" s="1"/>
  <c r="M15" i="4" s="1"/>
  <c r="C10" i="4"/>
  <c r="C13" i="4" s="1"/>
  <c r="C15" i="4" s="1"/>
  <c r="G10" i="4"/>
  <c r="G13" i="4" s="1"/>
  <c r="J15" i="4" s="1"/>
  <c r="K10" i="4"/>
  <c r="K13" i="4" s="1"/>
  <c r="K15" i="4" s="1"/>
  <c r="D10" i="4"/>
  <c r="D13" i="4" s="1"/>
  <c r="D15" i="4" s="1"/>
  <c r="L10" i="4"/>
  <c r="L13" i="4" s="1"/>
  <c r="I15" i="4" s="1"/>
  <c r="D11" i="4"/>
  <c r="H11" i="4"/>
  <c r="H10" i="4" s="1"/>
  <c r="H13" i="4" s="1"/>
  <c r="L15" i="4" s="1"/>
  <c r="L11" i="4"/>
  <c r="E10" i="4"/>
  <c r="E13" i="4" s="1"/>
  <c r="F15" i="4" s="1"/>
  <c r="M10" i="4"/>
  <c r="M13" i="4" s="1"/>
  <c r="G15" i="4" s="1"/>
  <c r="F10" i="4"/>
  <c r="F13" i="4" s="1"/>
  <c r="H15" i="4" s="1"/>
  <c r="F11" i="4"/>
  <c r="J11" i="4"/>
  <c r="J10" i="4" s="1"/>
  <c r="J13" i="4" s="1"/>
  <c r="N15" i="4" s="1"/>
  <c r="I150" i="1"/>
  <c r="I111" i="1"/>
  <c r="I83" i="1"/>
  <c r="I55" i="1"/>
  <c r="I34" i="1"/>
  <c r="I14" i="1"/>
  <c r="I178" i="1"/>
  <c r="F187" i="1"/>
  <c r="G187" i="1"/>
  <c r="D190" i="1"/>
  <c r="E189" i="1"/>
  <c r="G189" i="1" s="1"/>
  <c r="E188" i="1"/>
  <c r="F188" i="1" s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36" i="13" l="1"/>
  <c r="I15" i="13" s="1"/>
  <c r="N19" i="13" s="1"/>
  <c r="F16" i="12"/>
  <c r="M8" i="12"/>
  <c r="M12" i="12"/>
  <c r="F27" i="8"/>
  <c r="G27" i="8"/>
  <c r="I16" i="8" s="1"/>
  <c r="M17" i="8" s="1"/>
  <c r="G26" i="6"/>
  <c r="I16" i="6" s="1"/>
  <c r="F26" i="6"/>
  <c r="F54" i="5"/>
  <c r="G54" i="5"/>
  <c r="I44" i="5" s="1"/>
  <c r="F25" i="5"/>
  <c r="F26" i="5" s="1"/>
  <c r="E26" i="5"/>
  <c r="G26" i="5" s="1"/>
  <c r="F190" i="1"/>
  <c r="G188" i="1"/>
  <c r="G190" i="1" s="1"/>
  <c r="I179" i="1" s="1"/>
  <c r="E190" i="1"/>
  <c r="F189" i="1"/>
  <c r="D161" i="1"/>
  <c r="E160" i="1"/>
  <c r="G160" i="1" s="1"/>
  <c r="E159" i="1"/>
  <c r="F159" i="1" s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N7" i="13" l="1"/>
  <c r="N15" i="13"/>
  <c r="N11" i="13"/>
  <c r="M9" i="8"/>
  <c r="M5" i="8"/>
  <c r="M13" i="8"/>
  <c r="M13" i="6"/>
  <c r="M5" i="6"/>
  <c r="M9" i="6"/>
  <c r="M17" i="6"/>
  <c r="M37" i="5"/>
  <c r="M33" i="5"/>
  <c r="M45" i="5"/>
  <c r="M41" i="5"/>
  <c r="I16" i="5"/>
  <c r="F161" i="1"/>
  <c r="F160" i="1"/>
  <c r="G159" i="1"/>
  <c r="G161" i="1" s="1"/>
  <c r="I151" i="1" s="1"/>
  <c r="E161" i="1"/>
  <c r="E132" i="1"/>
  <c r="M13" i="5" l="1"/>
  <c r="M9" i="5"/>
  <c r="M5" i="5"/>
  <c r="M17" i="5"/>
  <c r="E131" i="1"/>
  <c r="E120" i="1"/>
  <c r="D133" i="1" l="1"/>
  <c r="G132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13" i="1"/>
  <c r="G114" i="1"/>
  <c r="G115" i="1"/>
  <c r="G116" i="1"/>
  <c r="G117" i="1"/>
  <c r="G118" i="1"/>
  <c r="G119" i="1"/>
  <c r="G120" i="1"/>
  <c r="D121" i="1"/>
  <c r="F120" i="1"/>
  <c r="F119" i="1"/>
  <c r="F118" i="1"/>
  <c r="F117" i="1"/>
  <c r="F116" i="1"/>
  <c r="F115" i="1"/>
  <c r="F114" i="1"/>
  <c r="F113" i="1"/>
  <c r="E92" i="1"/>
  <c r="G121" i="1" l="1"/>
  <c r="G131" i="1"/>
  <c r="G133" i="1" s="1"/>
  <c r="I112" i="1" s="1"/>
  <c r="E133" i="1"/>
  <c r="F132" i="1"/>
  <c r="F133" i="1" s="1"/>
  <c r="E121" i="1"/>
  <c r="F121" i="1"/>
  <c r="D94" i="1"/>
  <c r="G85" i="1"/>
  <c r="G86" i="1"/>
  <c r="G87" i="1"/>
  <c r="G88" i="1"/>
  <c r="G89" i="1"/>
  <c r="G90" i="1"/>
  <c r="G91" i="1"/>
  <c r="G92" i="1"/>
  <c r="F85" i="1"/>
  <c r="F86" i="1"/>
  <c r="F87" i="1"/>
  <c r="F88" i="1"/>
  <c r="F89" i="1"/>
  <c r="F90" i="1"/>
  <c r="F91" i="1"/>
  <c r="F92" i="1"/>
  <c r="E65" i="1"/>
  <c r="G65" i="1" s="1"/>
  <c r="E93" i="1"/>
  <c r="F93" i="1" s="1"/>
  <c r="E64" i="1"/>
  <c r="G64" i="1" s="1"/>
  <c r="F61" i="1"/>
  <c r="G61" i="1"/>
  <c r="F62" i="1"/>
  <c r="G62" i="1"/>
  <c r="D66" i="1"/>
  <c r="G63" i="1"/>
  <c r="F63" i="1"/>
  <c r="G60" i="1"/>
  <c r="F60" i="1"/>
  <c r="G59" i="1"/>
  <c r="F59" i="1"/>
  <c r="G58" i="1"/>
  <c r="F58" i="1"/>
  <c r="G57" i="1"/>
  <c r="F57" i="1"/>
  <c r="F12" i="1"/>
  <c r="E14" i="1"/>
  <c r="E15" i="1" s="1"/>
  <c r="E94" i="1" l="1"/>
  <c r="G93" i="1"/>
  <c r="G94" i="1" s="1"/>
  <c r="I84" i="1" s="1"/>
  <c r="F94" i="1"/>
  <c r="E66" i="1"/>
  <c r="F66" i="1"/>
  <c r="G66" i="1"/>
  <c r="I56" i="1" s="1"/>
  <c r="F65" i="1"/>
  <c r="F64" i="1"/>
  <c r="F11" i="1"/>
  <c r="G11" i="1"/>
  <c r="G12" i="1"/>
  <c r="F13" i="1"/>
  <c r="G13" i="1"/>
  <c r="F14" i="1"/>
  <c r="D15" i="1"/>
  <c r="F15" i="1" l="1"/>
  <c r="G15" i="1"/>
  <c r="I15" i="1" s="1"/>
  <c r="G14" i="1"/>
  <c r="B15" i="2"/>
  <c r="B5" i="2"/>
  <c r="F11" i="2" s="1"/>
  <c r="B4" i="2"/>
  <c r="B3" i="2"/>
  <c r="M11" i="2" l="1"/>
  <c r="E11" i="2"/>
  <c r="E10" i="2" s="1"/>
  <c r="E13" i="2" s="1"/>
  <c r="F15" i="2" s="1"/>
  <c r="I11" i="2"/>
  <c r="M10" i="2"/>
  <c r="M13" i="2" s="1"/>
  <c r="G15" i="2" s="1"/>
  <c r="F10" i="2"/>
  <c r="F13" i="2" s="1"/>
  <c r="H15" i="2" s="1"/>
  <c r="J11" i="2"/>
  <c r="J10" i="2" s="1"/>
  <c r="J13" i="2" s="1"/>
  <c r="N15" i="2" s="1"/>
  <c r="N11" i="2"/>
  <c r="N10" i="2" s="1"/>
  <c r="N13" i="2" s="1"/>
  <c r="E15" i="2" s="1"/>
  <c r="C11" i="2"/>
  <c r="C10" i="2" s="1"/>
  <c r="C13" i="2" s="1"/>
  <c r="C15" i="2" s="1"/>
  <c r="G11" i="2"/>
  <c r="G10" i="2" s="1"/>
  <c r="G13" i="2" s="1"/>
  <c r="J15" i="2" s="1"/>
  <c r="K11" i="2"/>
  <c r="K10" i="2" s="1"/>
  <c r="K13" i="2" s="1"/>
  <c r="K15" i="2" s="1"/>
  <c r="D11" i="2"/>
  <c r="D10" i="2" s="1"/>
  <c r="D13" i="2" s="1"/>
  <c r="D15" i="2" s="1"/>
  <c r="H11" i="2"/>
  <c r="H10" i="2" s="1"/>
  <c r="H13" i="2" s="1"/>
  <c r="L15" i="2" s="1"/>
  <c r="L11" i="2"/>
  <c r="L10" i="2" s="1"/>
  <c r="L13" i="2" s="1"/>
  <c r="I15" i="2" s="1"/>
  <c r="I10" i="2"/>
  <c r="I13" i="2" s="1"/>
  <c r="M15" i="2" s="1"/>
  <c r="D36" i="1" l="1"/>
  <c r="E35" i="1"/>
  <c r="F35" i="1" s="1"/>
  <c r="G34" i="1"/>
  <c r="F34" i="1"/>
  <c r="G33" i="1"/>
  <c r="F33" i="1"/>
  <c r="G32" i="1"/>
  <c r="F32" i="1"/>
  <c r="G31" i="1"/>
  <c r="F31" i="1"/>
  <c r="G30" i="1"/>
  <c r="F30" i="1"/>
  <c r="G35" i="1" l="1"/>
  <c r="E36" i="1"/>
  <c r="G36" i="1" s="1"/>
  <c r="I35" i="1" s="1"/>
  <c r="F36" i="1" l="1"/>
</calcChain>
</file>

<file path=xl/sharedStrings.xml><?xml version="1.0" encoding="utf-8"?>
<sst xmlns="http://schemas.openxmlformats.org/spreadsheetml/2006/main" count="626" uniqueCount="82">
  <si>
    <t>Variante A1</t>
  </si>
  <si>
    <t>Wärmebedarf:</t>
  </si>
  <si>
    <t>MWh/a</t>
  </si>
  <si>
    <t>Wirkungsgrad neu:</t>
  </si>
  <si>
    <t>Brennstoffkosten:</t>
  </si>
  <si>
    <t>ct/kWh</t>
  </si>
  <si>
    <t>aktueller Heizölpreis</t>
  </si>
  <si>
    <t>ct/Liter</t>
  </si>
  <si>
    <t>Spalte1</t>
  </si>
  <si>
    <t>einmalige
Kosten</t>
  </si>
  <si>
    <t>Kosten
auf 5 Jahre</t>
  </si>
  <si>
    <t>Kosten
auf 10 Jahre</t>
  </si>
  <si>
    <t>4x Gasanschluss</t>
  </si>
  <si>
    <t>4x Gaskessel</t>
  </si>
  <si>
    <t>4x Montage &amp; Entsorgung</t>
  </si>
  <si>
    <t>aktueller Wärmepreis je kWh auf 10 Jahre</t>
  </si>
  <si>
    <t>Brennstoffbedarf</t>
  </si>
  <si>
    <t>neuer Wärmepreis je kWh auf 10 Jahre</t>
  </si>
  <si>
    <t>Gesamt</t>
  </si>
  <si>
    <t>Variante A2</t>
  </si>
  <si>
    <t>2x Gasanschluss</t>
  </si>
  <si>
    <t>2x Gaskessel</t>
  </si>
  <si>
    <t>2x Nahwärmeleitung</t>
  </si>
  <si>
    <t>2x Übergabestation</t>
  </si>
  <si>
    <t>Heizlast [kW]</t>
  </si>
  <si>
    <t>Betriebsstunden /a</t>
  </si>
  <si>
    <t>Heizwärmemenge [kWh]</t>
  </si>
  <si>
    <t>Warmwasser [kWh]</t>
  </si>
  <si>
    <t>Gesamtwärmenenge [kWh]</t>
  </si>
  <si>
    <t>WW-Anteil [%]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</si>
  <si>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</si>
  <si>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</si>
  <si>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</si>
  <si>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</si>
  <si>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</si>
  <si>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</si>
  <si>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</si>
  <si>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</si>
  <si>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</si>
  <si>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</si>
  <si>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</si>
  <si>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</si>
  <si>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W.Meng.Verteilung</t>
  </si>
  <si>
    <t>Leistung [kW]</t>
  </si>
  <si>
    <t>Leistung geordnet</t>
  </si>
  <si>
    <t>Stunden</t>
  </si>
  <si>
    <t>BHKW</t>
  </si>
  <si>
    <t>Variante:</t>
  </si>
  <si>
    <t>wärmegeführt</t>
  </si>
  <si>
    <t>aktueller Wärmepreis je kWh</t>
  </si>
  <si>
    <t>jährliche
Kosten</t>
  </si>
  <si>
    <t>Variante B1</t>
  </si>
  <si>
    <t>2x BHKW 2,6kW/6,5kW</t>
  </si>
  <si>
    <t>2x 1000L Pufferspeicher</t>
  </si>
  <si>
    <t>Stromerlöse</t>
  </si>
  <si>
    <t>Einspeisepreis</t>
  </si>
  <si>
    <t>el. Leistung BHKW</t>
  </si>
  <si>
    <t>kW</t>
  </si>
  <si>
    <t>Betriebsstunden</t>
  </si>
  <si>
    <t>h</t>
  </si>
  <si>
    <t>Erdgasbedarf</t>
  </si>
  <si>
    <t>(direkte Einspeisung)</t>
  </si>
  <si>
    <t>(Selbstverbrauch)</t>
  </si>
  <si>
    <t>Variante B2</t>
  </si>
  <si>
    <t>2x EC Power XRGI 15</t>
  </si>
  <si>
    <t>2x EC Power XRGI 20</t>
  </si>
  <si>
    <t>2x sechs 1000L Speicher</t>
  </si>
  <si>
    <t>Wärmebedarf</t>
  </si>
  <si>
    <t>135m Nahwärmeleitung</t>
  </si>
  <si>
    <t>Gaskessel</t>
  </si>
  <si>
    <t>BHKW EC Power XRGI 20</t>
  </si>
  <si>
    <t>Variante C1</t>
  </si>
  <si>
    <t>1x Gaskessel</t>
  </si>
  <si>
    <t>4x Übergabestation</t>
  </si>
  <si>
    <t>Heizhaus</t>
  </si>
  <si>
    <t>Gasanschluss (80m)</t>
  </si>
  <si>
    <t>Cent/kWh</t>
  </si>
  <si>
    <t>Benutzungsstunden</t>
  </si>
  <si>
    <t>Gesamtinvestition</t>
  </si>
  <si>
    <t>Brennstoffkosten</t>
  </si>
  <si>
    <t>Variante C2</t>
  </si>
  <si>
    <t>Wirkungsgrad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</si>
</sst>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/>
    <xf numFmtId="164" fontId="0" fillId="0" borderId="0" xfId="0" applyNumberForma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3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Font="1" applyFill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/>
    <xf numFmtId="0" fontId="5" fillId="0" borderId="2" xfId="0" applyFont="1" applyBorder="1"/>
    <xf numFmtId="0" fontId="0" fillId="0" borderId="9" xfId="0" applyBorder="1"/>
    <xf numFmtId="9" fontId="3" fillId="0" borderId="0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2" fontId="0" fillId="0" borderId="4" xfId="0" applyNumberFormat="1" applyBorder="1"/>
    <xf numFmtId="0" fontId="0" fillId="2" borderId="0" xfId="0" applyFill="1" applyBorder="1"/>
    <xf numFmtId="0" fontId="0" fillId="0" borderId="0" xfId="0" applyFill="1" applyBorder="1"/>
    <xf numFmtId="2" fontId="0" fillId="0" borderId="0" xfId="0" applyNumberFormat="1" applyBorder="1"/>
    <xf numFmtId="2" fontId="0" fillId="0" borderId="5" xfId="0" applyNumberFormat="1" applyBorder="1"/>
    <xf numFmtId="164" fontId="6" fillId="0" borderId="0" xfId="0" applyNumberFormat="1" applyFont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7" xfId="0" applyFill="1" applyBorder="1"/>
  </cellXfs>
  <cellStyles count="1">
    <cellStyle name="Standard" xfId="0" builtinId="0"/>
  </cellStyles>
  <dxfs count="126"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/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/>
        <bottom/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/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border diagonalUp="0" diagonalDown="0">
        <left/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/>
        <bottom/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/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border diagonalUp="0" diagonalDown="0">
        <left/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/>
        <bottom/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/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numFmt numFmtId="164" formatCode="#,##0\ &quot;€&quot;"/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0"/>
        </right>
        <top style="medium">
          <color indexed="0"/>
        </top>
        <bottom style="medium">
          <color indexed="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A1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Anlagenwirkungsgrad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A1'!$N$4:$T$4</c:f>
              <c:numCache>
                <c:formatCode>0.00</c:formatCode>
                <c:ptCount val="7"/>
                <c:pt idx="0">
                  <c:v>9.7678202680842432</c:v>
                </c:pt>
                <c:pt idx="1">
                  <c:v>9.3118239160550598</c:v>
                </c:pt>
                <c:pt idx="2">
                  <c:v>8.9038271800289497</c:v>
                </c:pt>
                <c:pt idx="3">
                  <c:v>8.536630117605446</c:v>
                </c:pt>
                <c:pt idx="4">
                  <c:v>8.2044042039841845</c:v>
                </c:pt>
                <c:pt idx="5">
                  <c:v>7.9023806461466712</c:v>
                </c:pt>
                <c:pt idx="6">
                  <c:v>7.6266200063819882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A1'!$N$8:$T$8</c:f>
              <c:numCache>
                <c:formatCode>0.00</c:formatCode>
                <c:ptCount val="7"/>
                <c:pt idx="0">
                  <c:v>8.345422893270845</c:v>
                </c:pt>
                <c:pt idx="1">
                  <c:v>8.4091586347157126</c:v>
                </c:pt>
                <c:pt idx="2">
                  <c:v>8.4728943761605802</c:v>
                </c:pt>
                <c:pt idx="3">
                  <c:v>8.536630117605446</c:v>
                </c:pt>
                <c:pt idx="4">
                  <c:v>8.6003658590503136</c:v>
                </c:pt>
                <c:pt idx="5">
                  <c:v>8.6641016004951812</c:v>
                </c:pt>
                <c:pt idx="6">
                  <c:v>8.727837341940047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A1'!$N$12:$T$12</c:f>
              <c:numCache>
                <c:formatCode>0.00</c:formatCode>
                <c:ptCount val="7"/>
                <c:pt idx="0">
                  <c:v>7.4901184896984701</c:v>
                </c:pt>
                <c:pt idx="1">
                  <c:v>7.8389556990007963</c:v>
                </c:pt>
                <c:pt idx="2">
                  <c:v>8.1877929083031216</c:v>
                </c:pt>
                <c:pt idx="3">
                  <c:v>8.536630117605446</c:v>
                </c:pt>
                <c:pt idx="4">
                  <c:v>8.8854673269077722</c:v>
                </c:pt>
                <c:pt idx="5">
                  <c:v>9.2343045362100966</c:v>
                </c:pt>
                <c:pt idx="6">
                  <c:v>9.5831417455124228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61248"/>
        <c:axId val="111361808"/>
      </c:lineChart>
      <c:catAx>
        <c:axId val="111361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361808"/>
        <c:crosses val="autoZero"/>
        <c:auto val="1"/>
        <c:lblAlgn val="ctr"/>
        <c:lblOffset val="100"/>
        <c:noMultiLvlLbl val="0"/>
      </c:catAx>
      <c:valAx>
        <c:axId val="111361808"/>
        <c:scaling>
          <c:orientation val="minMax"/>
          <c:max val="10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36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A2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Anlagenwirkungsgrad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A2'!$N$4:$T$4</c:f>
              <c:numCache>
                <c:formatCode>0.00</c:formatCode>
                <c:ptCount val="7"/>
                <c:pt idx="0">
                  <c:v>10.617516085574739</c:v>
                </c:pt>
                <c:pt idx="1">
                  <c:v>10.161519733545553</c:v>
                </c:pt>
                <c:pt idx="2">
                  <c:v>9.7535229975194433</c:v>
                </c:pt>
                <c:pt idx="3">
                  <c:v>9.3863259350959414</c:v>
                </c:pt>
                <c:pt idx="4">
                  <c:v>9.0541000214746781</c:v>
                </c:pt>
                <c:pt idx="5">
                  <c:v>8.7520764636371666</c:v>
                </c:pt>
                <c:pt idx="6">
                  <c:v>8.4763158238724845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A2'!$N$8:$T$8</c:f>
              <c:numCache>
                <c:formatCode>0.00</c:formatCode>
                <c:ptCount val="7"/>
                <c:pt idx="0">
                  <c:v>9.0534057830046848</c:v>
                </c:pt>
                <c:pt idx="1">
                  <c:v>9.1643791670351042</c:v>
                </c:pt>
                <c:pt idx="2">
                  <c:v>9.2753525510655237</c:v>
                </c:pt>
                <c:pt idx="3">
                  <c:v>9.3863259350959414</c:v>
                </c:pt>
                <c:pt idx="4">
                  <c:v>9.4972993191263608</c:v>
                </c:pt>
                <c:pt idx="5">
                  <c:v>9.6082727031567767</c:v>
                </c:pt>
                <c:pt idx="6">
                  <c:v>9.7192460871871944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A2'!$N$12:$T$12</c:f>
              <c:numCache>
                <c:formatCode>0.00</c:formatCode>
                <c:ptCount val="7"/>
                <c:pt idx="0">
                  <c:v>8.3398143071889628</c:v>
                </c:pt>
                <c:pt idx="1">
                  <c:v>8.6886515164912907</c:v>
                </c:pt>
                <c:pt idx="2">
                  <c:v>9.0374887257936152</c:v>
                </c:pt>
                <c:pt idx="3">
                  <c:v>9.3863259350959414</c:v>
                </c:pt>
                <c:pt idx="4">
                  <c:v>9.7351631443982676</c:v>
                </c:pt>
                <c:pt idx="5">
                  <c:v>10.084000353700594</c:v>
                </c:pt>
                <c:pt idx="6">
                  <c:v>10.432837563002918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65168"/>
        <c:axId val="111365728"/>
      </c:lineChart>
      <c:catAx>
        <c:axId val="11136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365728"/>
        <c:crosses val="autoZero"/>
        <c:auto val="1"/>
        <c:lblAlgn val="ctr"/>
        <c:lblOffset val="100"/>
        <c:noMultiLvlLbl val="0"/>
      </c:catAx>
      <c:valAx>
        <c:axId val="111365728"/>
        <c:scaling>
          <c:orientation val="minMax"/>
          <c:max val="11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36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Jahresdauerlinie Variante B1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3904577878685415E-2"/>
          <c:y val="8.771368107838802E-2"/>
          <c:w val="0.89930586284076452"/>
          <c:h val="0.83434517959114407"/>
        </c:manualLayout>
      </c:layout>
      <c:areaChart>
        <c:grouping val="standard"/>
        <c:varyColors val="0"/>
        <c:ser>
          <c:idx val="0"/>
          <c:order val="0"/>
          <c:tx>
            <c:v>Jahresdauerlinie der Liegenschaft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'JDL Variante B1'!$B$16:$N$16</c:f>
              <c:numCache>
                <c:formatCode>General</c:formatCode>
                <c:ptCount val="13"/>
                <c:pt idx="0">
                  <c:v>1</c:v>
                </c:pt>
                <c:pt idx="1">
                  <c:v>744</c:v>
                </c:pt>
                <c:pt idx="2">
                  <c:v>1416</c:v>
                </c:pt>
                <c:pt idx="3">
                  <c:v>2160</c:v>
                </c:pt>
                <c:pt idx="4">
                  <c:v>2880</c:v>
                </c:pt>
                <c:pt idx="5">
                  <c:v>3624</c:v>
                </c:pt>
                <c:pt idx="6">
                  <c:v>4344</c:v>
                </c:pt>
                <c:pt idx="7">
                  <c:v>5088</c:v>
                </c:pt>
                <c:pt idx="8">
                  <c:v>5832</c:v>
                </c:pt>
                <c:pt idx="9">
                  <c:v>6552</c:v>
                </c:pt>
                <c:pt idx="10">
                  <c:v>7296</c:v>
                </c:pt>
                <c:pt idx="11">
                  <c:v>8016</c:v>
                </c:pt>
                <c:pt idx="12">
                  <c:v>8760</c:v>
                </c:pt>
              </c:numCache>
            </c:numRef>
          </c:cat>
          <c:val>
            <c:numRef>
              <c:f>'JDL Variante B1'!$B$15:$N$15</c:f>
              <c:numCache>
                <c:formatCode>0.00</c:formatCode>
                <c:ptCount val="13"/>
                <c:pt idx="0" formatCode="General">
                  <c:v>70</c:v>
                </c:pt>
                <c:pt idx="1">
                  <c:v>18.593750000000004</c:v>
                </c:pt>
                <c:pt idx="2">
                  <c:v>18.1640625</c:v>
                </c:pt>
                <c:pt idx="3">
                  <c:v>17.5</c:v>
                </c:pt>
                <c:pt idx="4">
                  <c:v>14.692708333333334</c:v>
                </c:pt>
                <c:pt idx="5">
                  <c:v>13.5625</c:v>
                </c:pt>
                <c:pt idx="6">
                  <c:v>8.75</c:v>
                </c:pt>
                <c:pt idx="7">
                  <c:v>8.75</c:v>
                </c:pt>
                <c:pt idx="8">
                  <c:v>4.520833333333333</c:v>
                </c:pt>
                <c:pt idx="9">
                  <c:v>3.390625</c:v>
                </c:pt>
                <c:pt idx="10">
                  <c:v>1.5031770833333331</c:v>
                </c:pt>
                <c:pt idx="11">
                  <c:v>1.4546874999999999</c:v>
                </c:pt>
                <c:pt idx="12">
                  <c:v>1.4546874999999999</c:v>
                </c:pt>
              </c:numCache>
            </c:numRef>
          </c:val>
        </c:ser>
        <c:ser>
          <c:idx val="1"/>
          <c:order val="1"/>
          <c:tx>
            <c:v>6,5kWth BHKW</c:v>
          </c:tx>
          <c:spPr>
            <a:solidFill>
              <a:srgbClr val="C00000">
                <a:alpha val="7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'JDL Variante B1'!$B$17:$N$17</c:f>
              <c:numCache>
                <c:formatCode>General</c:formatCode>
                <c:ptCount val="13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68528"/>
        <c:axId val="111369088"/>
      </c:areaChart>
      <c:catAx>
        <c:axId val="11136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Stunden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369088"/>
        <c:crosses val="autoZero"/>
        <c:auto val="1"/>
        <c:lblAlgn val="ctr"/>
        <c:lblOffset val="100"/>
        <c:noMultiLvlLbl val="0"/>
      </c:catAx>
      <c:valAx>
        <c:axId val="1113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themrische Leisting in 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36852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58452892774904"/>
          <c:y val="9.6421535283194193E-2"/>
          <c:w val="0.44483081332624835"/>
          <c:h val="4.473190474709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B1 bei Einspeisung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Betriebsstunden BHKW &amp; Einspeisepreis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B1'!$N$5:$T$5</c:f>
              <c:numCache>
                <c:formatCode>0.00</c:formatCode>
                <c:ptCount val="7"/>
                <c:pt idx="0">
                  <c:v>10.253764258555135</c:v>
                </c:pt>
                <c:pt idx="1">
                  <c:v>10.183079847908745</c:v>
                </c:pt>
                <c:pt idx="2">
                  <c:v>10.112395437262357</c:v>
                </c:pt>
                <c:pt idx="3">
                  <c:v>10.041711026615971</c:v>
                </c:pt>
                <c:pt idx="4">
                  <c:v>9.9710266159695813</c:v>
                </c:pt>
                <c:pt idx="5">
                  <c:v>9.9003422053231933</c:v>
                </c:pt>
                <c:pt idx="6">
                  <c:v>9.8296577946768053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B1'!$N$13:$T$13</c:f>
              <c:numCache>
                <c:formatCode>0.00</c:formatCode>
                <c:ptCount val="7"/>
                <c:pt idx="0">
                  <c:v>9.4743802281368836</c:v>
                </c:pt>
                <c:pt idx="1">
                  <c:v>9.66349049429658</c:v>
                </c:pt>
                <c:pt idx="2">
                  <c:v>9.8526007604562729</c:v>
                </c:pt>
                <c:pt idx="3">
                  <c:v>10.041711026615971</c:v>
                </c:pt>
                <c:pt idx="4">
                  <c:v>10.230821292775666</c:v>
                </c:pt>
                <c:pt idx="5">
                  <c:v>10.41993155893536</c:v>
                </c:pt>
                <c:pt idx="6">
                  <c:v>10.609041825095057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B1'!$N$17:$T$17</c:f>
              <c:numCache>
                <c:formatCode>0.00</c:formatCode>
                <c:ptCount val="7"/>
                <c:pt idx="0">
                  <c:v>8.9905418250950575</c:v>
                </c:pt>
                <c:pt idx="1">
                  <c:v>9.3409315589353614</c:v>
                </c:pt>
                <c:pt idx="2">
                  <c:v>9.6913212927756653</c:v>
                </c:pt>
                <c:pt idx="3">
                  <c:v>10.041711026615971</c:v>
                </c:pt>
                <c:pt idx="4">
                  <c:v>10.392100760456275</c:v>
                </c:pt>
                <c:pt idx="5">
                  <c:v>10.742490494296581</c:v>
                </c:pt>
                <c:pt idx="6">
                  <c:v>11.092880228136881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44176"/>
        <c:axId val="190330048"/>
      </c:lineChart>
      <c:catAx>
        <c:axId val="33444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0330048"/>
        <c:crosses val="autoZero"/>
        <c:auto val="1"/>
        <c:lblAlgn val="ctr"/>
        <c:lblOffset val="100"/>
        <c:noMultiLvlLbl val="0"/>
      </c:catAx>
      <c:valAx>
        <c:axId val="190330048"/>
        <c:scaling>
          <c:orientation val="minMax"/>
          <c:max val="11.5"/>
          <c:min val="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44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B1 bei Eigenverbrauch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Betriebsstunden BHKW &amp; Einspeisepreis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B1'!$N$33:$T$33</c:f>
              <c:numCache>
                <c:formatCode>0.00</c:formatCode>
                <c:ptCount val="7"/>
                <c:pt idx="0">
                  <c:v>8.3671973384030434</c:v>
                </c:pt>
                <c:pt idx="1">
                  <c:v>8.185538403041825</c:v>
                </c:pt>
                <c:pt idx="2">
                  <c:v>8.0038794676806102</c:v>
                </c:pt>
                <c:pt idx="3">
                  <c:v>7.8222205323193901</c:v>
                </c:pt>
                <c:pt idx="4">
                  <c:v>7.6405615969581762</c:v>
                </c:pt>
                <c:pt idx="5">
                  <c:v>7.4589026615969587</c:v>
                </c:pt>
                <c:pt idx="6">
                  <c:v>7.2772437262357421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B1'!$N$41:$T$41</c:f>
              <c:numCache>
                <c:formatCode>0.00</c:formatCode>
                <c:ptCount val="7"/>
                <c:pt idx="0">
                  <c:v>7.2548897338403044</c:v>
                </c:pt>
                <c:pt idx="1">
                  <c:v>7.4440000000000008</c:v>
                </c:pt>
                <c:pt idx="2">
                  <c:v>7.6331102661596955</c:v>
                </c:pt>
                <c:pt idx="3">
                  <c:v>7.8222205323193901</c:v>
                </c:pt>
                <c:pt idx="4">
                  <c:v>8.0113307984790865</c:v>
                </c:pt>
                <c:pt idx="5">
                  <c:v>8.2004410646387829</c:v>
                </c:pt>
                <c:pt idx="6">
                  <c:v>8.3895513307984775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B1'!$N$45:$T$45</c:f>
              <c:numCache>
                <c:formatCode>0.00</c:formatCode>
                <c:ptCount val="7"/>
                <c:pt idx="0">
                  <c:v>6.7710513307984792</c:v>
                </c:pt>
                <c:pt idx="1">
                  <c:v>7.1214410646387822</c:v>
                </c:pt>
                <c:pt idx="2">
                  <c:v>7.471830798479087</c:v>
                </c:pt>
                <c:pt idx="3">
                  <c:v>7.8222205323193901</c:v>
                </c:pt>
                <c:pt idx="4">
                  <c:v>8.1726102661596975</c:v>
                </c:pt>
                <c:pt idx="5">
                  <c:v>8.5230000000000015</c:v>
                </c:pt>
                <c:pt idx="6">
                  <c:v>8.8733897338403054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333968"/>
        <c:axId val="190334528"/>
      </c:lineChart>
      <c:catAx>
        <c:axId val="19033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0334528"/>
        <c:crosses val="autoZero"/>
        <c:auto val="1"/>
        <c:lblAlgn val="ctr"/>
        <c:lblOffset val="100"/>
        <c:noMultiLvlLbl val="0"/>
      </c:catAx>
      <c:valAx>
        <c:axId val="190334528"/>
        <c:scaling>
          <c:orientation val="minMax"/>
          <c:max val="9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033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B2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Betriebsstunden BHKW &amp; Einspeisepreis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B2'!$O$7:$U$7</c:f>
              <c:numCache>
                <c:formatCode>0.00</c:formatCode>
                <c:ptCount val="7"/>
                <c:pt idx="0">
                  <c:v>11.60004158745247</c:v>
                </c:pt>
                <c:pt idx="1">
                  <c:v>11.07960788973384</c:v>
                </c:pt>
                <c:pt idx="2">
                  <c:v>10.55917419201521</c:v>
                </c:pt>
                <c:pt idx="3">
                  <c:v>10.038740494296579</c:v>
                </c:pt>
                <c:pt idx="4">
                  <c:v>9.5183067965779458</c:v>
                </c:pt>
                <c:pt idx="5">
                  <c:v>8.9978730988593156</c:v>
                </c:pt>
                <c:pt idx="6">
                  <c:v>8.4774394011406873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B2'!$O$15:$U$15</c:f>
              <c:numCache>
                <c:formatCode>0.00</c:formatCode>
                <c:ptCount val="7"/>
                <c:pt idx="0">
                  <c:v>8.7370941064638767</c:v>
                </c:pt>
                <c:pt idx="1">
                  <c:v>9.1709762357414437</c:v>
                </c:pt>
                <c:pt idx="2">
                  <c:v>9.6048583650190125</c:v>
                </c:pt>
                <c:pt idx="3">
                  <c:v>10.038740494296579</c:v>
                </c:pt>
                <c:pt idx="4">
                  <c:v>10.472622623574145</c:v>
                </c:pt>
                <c:pt idx="5">
                  <c:v>10.906504752851712</c:v>
                </c:pt>
                <c:pt idx="6">
                  <c:v>11.340386882129277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B2'!$O$19:$U$19</c:f>
              <c:numCache>
                <c:formatCode>0.00</c:formatCode>
                <c:ptCount val="7"/>
                <c:pt idx="0">
                  <c:v>8.4515066539923964</c:v>
                </c:pt>
                <c:pt idx="1">
                  <c:v>8.9805846007604568</c:v>
                </c:pt>
                <c:pt idx="2">
                  <c:v>9.5096625475285155</c:v>
                </c:pt>
                <c:pt idx="3">
                  <c:v>10.038740494296579</c:v>
                </c:pt>
                <c:pt idx="4">
                  <c:v>10.567818441064643</c:v>
                </c:pt>
                <c:pt idx="5">
                  <c:v>11.096896387832702</c:v>
                </c:pt>
                <c:pt idx="6">
                  <c:v>11.625974334600759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17440"/>
        <c:axId val="114218000"/>
      </c:lineChart>
      <c:catAx>
        <c:axId val="11421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218000"/>
        <c:crosses val="autoZero"/>
        <c:auto val="1"/>
        <c:lblAlgn val="ctr"/>
        <c:lblOffset val="100"/>
        <c:noMultiLvlLbl val="0"/>
      </c:catAx>
      <c:valAx>
        <c:axId val="114218000"/>
        <c:scaling>
          <c:orientation val="minMax"/>
          <c:max val="12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21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Jahresdauerlinie Varianten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3904577878685415E-2"/>
          <c:y val="8.771368107838802E-2"/>
          <c:w val="0.89930586284076452"/>
          <c:h val="0.83434517959114407"/>
        </c:manualLayout>
      </c:layout>
      <c:areaChart>
        <c:grouping val="standard"/>
        <c:varyColors val="0"/>
        <c:ser>
          <c:idx val="0"/>
          <c:order val="0"/>
          <c:tx>
            <c:v>Jahresdauerlinie der Liegenschaft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'JDL Variante C'!$B$16:$N$16</c:f>
              <c:numCache>
                <c:formatCode>General</c:formatCode>
                <c:ptCount val="13"/>
                <c:pt idx="0">
                  <c:v>1</c:v>
                </c:pt>
                <c:pt idx="1">
                  <c:v>744</c:v>
                </c:pt>
                <c:pt idx="2">
                  <c:v>1416</c:v>
                </c:pt>
                <c:pt idx="3">
                  <c:v>2160</c:v>
                </c:pt>
                <c:pt idx="4">
                  <c:v>2880</c:v>
                </c:pt>
                <c:pt idx="5">
                  <c:v>3624</c:v>
                </c:pt>
                <c:pt idx="6">
                  <c:v>4344</c:v>
                </c:pt>
                <c:pt idx="7">
                  <c:v>5088</c:v>
                </c:pt>
                <c:pt idx="8">
                  <c:v>5832</c:v>
                </c:pt>
                <c:pt idx="9">
                  <c:v>6552</c:v>
                </c:pt>
                <c:pt idx="10">
                  <c:v>7296</c:v>
                </c:pt>
                <c:pt idx="11">
                  <c:v>8016</c:v>
                </c:pt>
                <c:pt idx="12">
                  <c:v>8760</c:v>
                </c:pt>
              </c:numCache>
            </c:numRef>
          </c:cat>
          <c:val>
            <c:numRef>
              <c:f>'JDL Variante C'!$B$15:$N$15</c:f>
              <c:numCache>
                <c:formatCode>0.00</c:formatCode>
                <c:ptCount val="13"/>
                <c:pt idx="0" formatCode="General">
                  <c:v>130</c:v>
                </c:pt>
                <c:pt idx="1">
                  <c:v>41.295376344086023</c:v>
                </c:pt>
                <c:pt idx="2">
                  <c:v>40.341071428571432</c:v>
                </c:pt>
                <c:pt idx="3">
                  <c:v>38.866236559139786</c:v>
                </c:pt>
                <c:pt idx="4">
                  <c:v>32.63144444444444</c:v>
                </c:pt>
                <c:pt idx="5">
                  <c:v>30.121333333333332</c:v>
                </c:pt>
                <c:pt idx="6">
                  <c:v>19.433118279569893</c:v>
                </c:pt>
                <c:pt idx="7">
                  <c:v>19.433118279569893</c:v>
                </c:pt>
                <c:pt idx="8">
                  <c:v>10.040444444444445</c:v>
                </c:pt>
                <c:pt idx="9">
                  <c:v>7.5303333333333331</c:v>
                </c:pt>
                <c:pt idx="10">
                  <c:v>3.3384477777777772</c:v>
                </c:pt>
                <c:pt idx="11">
                  <c:v>3.230755913978494</c:v>
                </c:pt>
                <c:pt idx="12">
                  <c:v>3.230755913978494</c:v>
                </c:pt>
              </c:numCache>
            </c:numRef>
          </c:val>
        </c:ser>
        <c:ser>
          <c:idx val="1"/>
          <c:order val="1"/>
          <c:tx>
            <c:v>13,5kWth BHKW</c:v>
          </c:tx>
          <c:spPr>
            <a:solidFill>
              <a:srgbClr val="C00000">
                <a:alpha val="7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'JDL Variante C'!$B$17:$N$17</c:f>
              <c:numCache>
                <c:formatCode>General</c:formatCode>
                <c:ptCount val="13"/>
                <c:pt idx="0">
                  <c:v>13.5</c:v>
                </c:pt>
                <c:pt idx="1">
                  <c:v>13.5</c:v>
                </c:pt>
                <c:pt idx="2">
                  <c:v>13.5</c:v>
                </c:pt>
                <c:pt idx="3">
                  <c:v>13.5</c:v>
                </c:pt>
                <c:pt idx="4">
                  <c:v>13.5</c:v>
                </c:pt>
                <c:pt idx="5">
                  <c:v>13.5</c:v>
                </c:pt>
                <c:pt idx="6">
                  <c:v>13.5</c:v>
                </c:pt>
                <c:pt idx="7">
                  <c:v>13.5</c:v>
                </c:pt>
                <c:pt idx="8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20800"/>
        <c:axId val="114221360"/>
      </c:areaChart>
      <c:catAx>
        <c:axId val="11422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Stunden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221360"/>
        <c:crosses val="autoZero"/>
        <c:auto val="1"/>
        <c:lblAlgn val="ctr"/>
        <c:lblOffset val="100"/>
        <c:noMultiLvlLbl val="0"/>
      </c:catAx>
      <c:valAx>
        <c:axId val="11422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themrische Leisting in 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22080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29191826481811"/>
          <c:y val="8.5818491332950858E-2"/>
          <c:w val="0.40904793649260096"/>
          <c:h val="6.3287231660021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C1 bei Einspeisung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Betriebsstunden BHKW &amp; Einspeisepreis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C1'!$N$5:$T$5</c:f>
              <c:numCache>
                <c:formatCode>0.00</c:formatCode>
                <c:ptCount val="7"/>
                <c:pt idx="0">
                  <c:v>10.585969581749049</c:v>
                </c:pt>
                <c:pt idx="1">
                  <c:v>10.501444866920153</c:v>
                </c:pt>
                <c:pt idx="2">
                  <c:v>10.416920152091256</c:v>
                </c:pt>
                <c:pt idx="3">
                  <c:v>10.33239543726236</c:v>
                </c:pt>
                <c:pt idx="4">
                  <c:v>10.247870722433461</c:v>
                </c:pt>
                <c:pt idx="5">
                  <c:v>10.163346007604563</c:v>
                </c:pt>
                <c:pt idx="6">
                  <c:v>10.078821292775666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C1'!$N$13:$T$13</c:f>
              <c:numCache>
                <c:formatCode>0.00</c:formatCode>
                <c:ptCount val="7"/>
                <c:pt idx="0">
                  <c:v>9.6951264258555145</c:v>
                </c:pt>
                <c:pt idx="1">
                  <c:v>9.9075494296577968</c:v>
                </c:pt>
                <c:pt idx="2">
                  <c:v>10.119972433460077</c:v>
                </c:pt>
                <c:pt idx="3">
                  <c:v>10.33239543726236</c:v>
                </c:pt>
                <c:pt idx="4">
                  <c:v>10.54481844106464</c:v>
                </c:pt>
                <c:pt idx="5">
                  <c:v>10.757241444866922</c:v>
                </c:pt>
                <c:pt idx="6">
                  <c:v>10.969664448669205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C1'!$N$17:$T$17</c:f>
              <c:numCache>
                <c:formatCode>0.00</c:formatCode>
                <c:ptCount val="7"/>
                <c:pt idx="0">
                  <c:v>9.2232652091254774</c:v>
                </c:pt>
                <c:pt idx="1">
                  <c:v>9.5929752851711036</c:v>
                </c:pt>
                <c:pt idx="2">
                  <c:v>9.9626853612167299</c:v>
                </c:pt>
                <c:pt idx="3">
                  <c:v>10.33239543726236</c:v>
                </c:pt>
                <c:pt idx="4">
                  <c:v>10.702105513307986</c:v>
                </c:pt>
                <c:pt idx="5">
                  <c:v>11.071815589353614</c:v>
                </c:pt>
                <c:pt idx="6">
                  <c:v>11.441525665399238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92208"/>
        <c:axId val="191492768"/>
      </c:lineChart>
      <c:catAx>
        <c:axId val="19149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92768"/>
        <c:crosses val="autoZero"/>
        <c:auto val="1"/>
        <c:lblAlgn val="ctr"/>
        <c:lblOffset val="100"/>
        <c:noMultiLvlLbl val="0"/>
      </c:catAx>
      <c:valAx>
        <c:axId val="191492768"/>
        <c:scaling>
          <c:orientation val="minMax"/>
          <c:max val="11.5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9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C1 bei Eigenverbrauch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Betriebsstunden BHKW &amp; Einspeisepreis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C1'!$N$34:$T$34</c:f>
              <c:numCache>
                <c:formatCode>0.00</c:formatCode>
                <c:ptCount val="7"/>
                <c:pt idx="0">
                  <c:v>8.330004942965779</c:v>
                </c:pt>
                <c:pt idx="1">
                  <c:v>8.1127764258555146</c:v>
                </c:pt>
                <c:pt idx="2">
                  <c:v>7.8955479087452503</c:v>
                </c:pt>
                <c:pt idx="3">
                  <c:v>7.6783193916349832</c:v>
                </c:pt>
                <c:pt idx="4">
                  <c:v>7.4610908745247144</c:v>
                </c:pt>
                <c:pt idx="5">
                  <c:v>7.2438623574144492</c:v>
                </c:pt>
                <c:pt idx="6">
                  <c:v>7.0266338403041848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C1'!$N$42:$T$42</c:f>
              <c:numCache>
                <c:formatCode>0.00</c:formatCode>
                <c:ptCount val="7"/>
                <c:pt idx="0">
                  <c:v>7.0410503802281381</c:v>
                </c:pt>
                <c:pt idx="1">
                  <c:v>7.2534733840304195</c:v>
                </c:pt>
                <c:pt idx="2">
                  <c:v>7.4658963878327</c:v>
                </c:pt>
                <c:pt idx="3">
                  <c:v>7.6783193916349832</c:v>
                </c:pt>
                <c:pt idx="4">
                  <c:v>7.8907423954372637</c:v>
                </c:pt>
                <c:pt idx="5">
                  <c:v>8.1031653992395469</c:v>
                </c:pt>
                <c:pt idx="6">
                  <c:v>8.3155884030418257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C1'!$N$46:$T$46</c:f>
              <c:numCache>
                <c:formatCode>0.00</c:formatCode>
                <c:ptCount val="7"/>
                <c:pt idx="0">
                  <c:v>6.5691891634981001</c:v>
                </c:pt>
                <c:pt idx="1">
                  <c:v>6.9388992395437281</c:v>
                </c:pt>
                <c:pt idx="2">
                  <c:v>7.3086093155893552</c:v>
                </c:pt>
                <c:pt idx="3">
                  <c:v>7.6783193916349832</c:v>
                </c:pt>
                <c:pt idx="4">
                  <c:v>8.0480294676806121</c:v>
                </c:pt>
                <c:pt idx="5">
                  <c:v>8.4177395437262383</c:v>
                </c:pt>
                <c:pt idx="6">
                  <c:v>8.7874496197718646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96128"/>
        <c:axId val="191496688"/>
      </c:lineChart>
      <c:catAx>
        <c:axId val="19149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96688"/>
        <c:crosses val="autoZero"/>
        <c:auto val="1"/>
        <c:lblAlgn val="ctr"/>
        <c:lblOffset val="100"/>
        <c:noMultiLvlLbl val="0"/>
      </c:catAx>
      <c:valAx>
        <c:axId val="191496688"/>
        <c:scaling>
          <c:orientation val="minMax"/>
          <c:max val="9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C2 bei</a:t>
            </a:r>
            <a:r>
              <a:rPr lang="de-DE" baseline="0"/>
              <a:t> Einspeisung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Betriebsstunden BHKW &amp; Einspeisepreis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C2'!$N$5:$T$5</c:f>
              <c:numCache>
                <c:formatCode>0.00</c:formatCode>
                <c:ptCount val="7"/>
                <c:pt idx="0">
                  <c:v>12.598678707224337</c:v>
                </c:pt>
                <c:pt idx="1">
                  <c:v>12.514153992395441</c:v>
                </c:pt>
                <c:pt idx="2">
                  <c:v>12.429629277566541</c:v>
                </c:pt>
                <c:pt idx="3">
                  <c:v>12.345104562737644</c:v>
                </c:pt>
                <c:pt idx="4">
                  <c:v>12.260579847908746</c:v>
                </c:pt>
                <c:pt idx="5">
                  <c:v>12.176055133079849</c:v>
                </c:pt>
                <c:pt idx="6">
                  <c:v>12.091530418250951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C2'!$N$13:$T$13</c:f>
              <c:numCache>
                <c:formatCode>0.00</c:formatCode>
                <c:ptCount val="7"/>
                <c:pt idx="0">
                  <c:v>11.405929182509508</c:v>
                </c:pt>
                <c:pt idx="1">
                  <c:v>11.718987642585553</c:v>
                </c:pt>
                <c:pt idx="2">
                  <c:v>12.032046102661598</c:v>
                </c:pt>
                <c:pt idx="3">
                  <c:v>12.345104562737644</c:v>
                </c:pt>
                <c:pt idx="4">
                  <c:v>12.658163022813691</c:v>
                </c:pt>
                <c:pt idx="5">
                  <c:v>12.971221482889733</c:v>
                </c:pt>
                <c:pt idx="6">
                  <c:v>13.28427994296578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C2'!$N$17:$T$17</c:f>
              <c:numCache>
                <c:formatCode>0.00</c:formatCode>
                <c:ptCount val="7"/>
                <c:pt idx="0">
                  <c:v>11.23597433460076</c:v>
                </c:pt>
                <c:pt idx="1">
                  <c:v>11.605684410646388</c:v>
                </c:pt>
                <c:pt idx="2">
                  <c:v>11.975394486692014</c:v>
                </c:pt>
                <c:pt idx="3">
                  <c:v>12.345104562737644</c:v>
                </c:pt>
                <c:pt idx="4">
                  <c:v>12.714814638783272</c:v>
                </c:pt>
                <c:pt idx="5">
                  <c:v>13.084524714828898</c:v>
                </c:pt>
                <c:pt idx="6">
                  <c:v>13.454234790874525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254624"/>
        <c:axId val="191255184"/>
      </c:lineChart>
      <c:catAx>
        <c:axId val="19125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255184"/>
        <c:crosses val="autoZero"/>
        <c:auto val="1"/>
        <c:lblAlgn val="ctr"/>
        <c:lblOffset val="100"/>
        <c:noMultiLvlLbl val="0"/>
      </c:catAx>
      <c:valAx>
        <c:axId val="191255184"/>
        <c:scaling>
          <c:orientation val="minMax"/>
          <c:max val="13.5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2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Sensitivitätsanalyse Variante C2 bei Eigenverbrauch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Betriebsstunden BHKW &amp; Einspeisepreis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C2'!$N$35:$T$35</c:f>
              <c:numCache>
                <c:formatCode>0.00</c:formatCode>
                <c:ptCount val="7"/>
                <c:pt idx="0">
                  <c:v>10.342714068441065</c:v>
                </c:pt>
                <c:pt idx="1">
                  <c:v>10.125485551330799</c:v>
                </c:pt>
                <c:pt idx="2">
                  <c:v>9.9082570342205347</c:v>
                </c:pt>
                <c:pt idx="3">
                  <c:v>9.6910285171102668</c:v>
                </c:pt>
                <c:pt idx="4">
                  <c:v>9.4738000000000024</c:v>
                </c:pt>
                <c:pt idx="5">
                  <c:v>9.2565714828897327</c:v>
                </c:pt>
                <c:pt idx="6">
                  <c:v>9.0393429657794684</c:v>
                </c:pt>
              </c:numCache>
            </c:numRef>
          </c:val>
          <c:smooth val="0"/>
        </c:ser>
        <c:ser>
          <c:idx val="2"/>
          <c:order val="1"/>
          <c:tx>
            <c:v>Gesamtinvestition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C2'!$N$43:$T$43</c:f>
              <c:numCache>
                <c:formatCode>0.00</c:formatCode>
                <c:ptCount val="7"/>
                <c:pt idx="0">
                  <c:v>8.7518531368821311</c:v>
                </c:pt>
                <c:pt idx="1">
                  <c:v>9.0649115969581757</c:v>
                </c:pt>
                <c:pt idx="2">
                  <c:v>9.3779700570342222</c:v>
                </c:pt>
                <c:pt idx="3">
                  <c:v>9.6910285171102668</c:v>
                </c:pt>
                <c:pt idx="4">
                  <c:v>10.004086977186313</c:v>
                </c:pt>
                <c:pt idx="5">
                  <c:v>10.317145437262358</c:v>
                </c:pt>
                <c:pt idx="6">
                  <c:v>10.630203897338403</c:v>
                </c:pt>
              </c:numCache>
            </c:numRef>
          </c:val>
          <c:smooth val="0"/>
        </c:ser>
        <c:ser>
          <c:idx val="3"/>
          <c:order val="2"/>
          <c:tx>
            <c:v>Brennstoffkosten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'Wirt. B1'!$N$4:$T$4</c:f>
              <c:numCache>
                <c:formatCode>0%</c:formatCode>
                <c:ptCount val="7"/>
                <c:pt idx="0">
                  <c:v>-0.15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</c:numCache>
            </c:numRef>
          </c:cat>
          <c:val>
            <c:numRef>
              <c:f>'Wirt. C2'!$N$47:$T$47</c:f>
              <c:numCache>
                <c:formatCode>0.00</c:formatCode>
                <c:ptCount val="7"/>
                <c:pt idx="0">
                  <c:v>8.5818982889733846</c:v>
                </c:pt>
                <c:pt idx="1">
                  <c:v>8.9516083650190126</c:v>
                </c:pt>
                <c:pt idx="2">
                  <c:v>9.3213184410646406</c:v>
                </c:pt>
                <c:pt idx="3">
                  <c:v>9.6910285171102668</c:v>
                </c:pt>
                <c:pt idx="4">
                  <c:v>10.060738593155897</c:v>
                </c:pt>
                <c:pt idx="5">
                  <c:v>10.430448669201523</c:v>
                </c:pt>
                <c:pt idx="6">
                  <c:v>10.800158745247149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258544"/>
        <c:axId val="191259104"/>
      </c:lineChart>
      <c:catAx>
        <c:axId val="19125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Abweichung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259104"/>
        <c:crosses val="autoZero"/>
        <c:auto val="1"/>
        <c:lblAlgn val="ctr"/>
        <c:lblOffset val="100"/>
        <c:noMultiLvlLbl val="0"/>
      </c:catAx>
      <c:valAx>
        <c:axId val="191259104"/>
        <c:scaling>
          <c:orientation val="minMax"/>
          <c:max val="11"/>
          <c:min val="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latin typeface="+mn-lt"/>
                  </a:rPr>
                  <a:t>Wärmepreis</a:t>
                </a:r>
                <a:r>
                  <a:rPr lang="de-DE" baseline="0">
                    <a:latin typeface="+mn-lt"/>
                  </a:rPr>
                  <a:t> in ct/kWh</a:t>
                </a:r>
                <a:endParaRPr lang="de-DE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25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15</xdr:row>
      <xdr:rowOff>133350</xdr:rowOff>
    </xdr:from>
    <xdr:to>
      <xdr:col>18</xdr:col>
      <xdr:colOff>542925</xdr:colOff>
      <xdr:row>34</xdr:row>
      <xdr:rowOff>95250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15</xdr:row>
      <xdr:rowOff>133350</xdr:rowOff>
    </xdr:from>
    <xdr:to>
      <xdr:col>18</xdr:col>
      <xdr:colOff>542925</xdr:colOff>
      <xdr:row>34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19</xdr:row>
      <xdr:rowOff>142873</xdr:rowOff>
    </xdr:from>
    <xdr:to>
      <xdr:col>9</xdr:col>
      <xdr:colOff>647700</xdr:colOff>
      <xdr:row>44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714375</xdr:colOff>
      <xdr:row>1</xdr:row>
      <xdr:rowOff>152399</xdr:rowOff>
    </xdr:from>
    <xdr:to>
      <xdr:col>28</xdr:col>
      <xdr:colOff>123825</xdr:colOff>
      <xdr:row>19</xdr:row>
      <xdr:rowOff>57149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</xdr:colOff>
      <xdr:row>29</xdr:row>
      <xdr:rowOff>190499</xdr:rowOff>
    </xdr:from>
    <xdr:to>
      <xdr:col>28</xdr:col>
      <xdr:colOff>190500</xdr:colOff>
      <xdr:row>47</xdr:row>
      <xdr:rowOff>95249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666750</xdr:colOff>
      <xdr:row>22</xdr:row>
      <xdr:rowOff>66675</xdr:rowOff>
    </xdr:from>
    <xdr:to>
      <xdr:col>19</xdr:col>
      <xdr:colOff>352425</xdr:colOff>
      <xdr:row>40</xdr:row>
      <xdr:rowOff>38100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19</xdr:row>
      <xdr:rowOff>142873</xdr:rowOff>
    </xdr:from>
    <xdr:to>
      <xdr:col>9</xdr:col>
      <xdr:colOff>647700</xdr:colOff>
      <xdr:row>44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533400</xdr:colOff>
      <xdr:row>1</xdr:row>
      <xdr:rowOff>57150</xdr:rowOff>
    </xdr:from>
    <xdr:to>
      <xdr:col>27</xdr:col>
      <xdr:colOff>704850</xdr:colOff>
      <xdr:row>18</xdr:row>
      <xdr:rowOff>152400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</xdr:colOff>
      <xdr:row>30</xdr:row>
      <xdr:rowOff>152400</xdr:rowOff>
    </xdr:from>
    <xdr:to>
      <xdr:col>28</xdr:col>
      <xdr:colOff>190500</xdr:colOff>
      <xdr:row>48</xdr:row>
      <xdr:rowOff>57150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476250</xdr:colOff>
      <xdr:row>1</xdr:row>
      <xdr:rowOff>180975</xdr:rowOff>
    </xdr:from>
    <xdr:to>
      <xdr:col>27</xdr:col>
      <xdr:colOff>647700</xdr:colOff>
      <xdr:row>19</xdr:row>
      <xdr:rowOff>85725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31</xdr:row>
      <xdr:rowOff>114300</xdr:rowOff>
    </xdr:from>
    <xdr:to>
      <xdr:col>27</xdr:col>
      <xdr:colOff>571500</xdr:colOff>
      <xdr:row>49</xdr:row>
      <xdr:rowOff>19050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le98100" displayName="Tabelle98100" ref="C29:G36" totalsRowShown="0" headerRowDxfId="125" dataDxfId="124" headerRowCellStyle="Standard" dataCellStyle="Standard">
  <autoFilter ref="C29:G36"/>
  <tableColumns count="5">
    <tableColumn id="1" name="Spalte1" dataDxfId="123" dataCellStyle="Standard"/>
    <tableColumn id="2" name="einmalige_x000a_Kosten" dataDxfId="122" dataCellStyle="Standard"/>
    <tableColumn id="3" name="jährliche_x000a_Kosten" dataDxfId="121" dataCellStyle="Standard"/>
    <tableColumn id="4" name="Kosten_x000a_auf 5 Jahre" dataDxfId="120" dataCellStyle="Standard">
      <calculatedColumnFormula>D30+(E30*5)</calculatedColumnFormula>
    </tableColumn>
    <tableColumn id="5" name="Kosten_x000a_auf 10 Jahre" dataDxfId="119" dataCellStyle="Standard">
      <calculatedColumnFormula>D30+(10*E30)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elle98" displayName="Tabelle98" ref="C10:G15" totalsRowShown="0" headerRowDxfId="118" dataDxfId="117">
  <autoFilter ref="C10:G15"/>
  <tableColumns count="5">
    <tableColumn id="1" name="Spalte1" dataDxfId="116"/>
    <tableColumn id="2" name="einmalige_x000a_Kosten" dataDxfId="115"/>
    <tableColumn id="3" name="jährliche_x000a_Kosten" dataDxfId="114"/>
    <tableColumn id="4" name="Kosten_x000a_auf 5 Jahre" dataDxfId="113">
      <calculatedColumnFormula>D11+(E11*5)</calculatedColumnFormula>
    </tableColumn>
    <tableColumn id="5" name="Kosten_x000a_auf 10 Jahre" dataDxfId="112">
      <calculatedColumnFormula>D11+(10*E11)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le981004" displayName="Tabelle981004" ref="C56:G66" totalsRowShown="0" headerRowDxfId="111" dataDxfId="110" headerRowCellStyle="Standard" dataCellStyle="Standard">
  <autoFilter ref="C56:G66"/>
  <tableColumns count="5">
    <tableColumn id="1" name="Spalte1" dataDxfId="109" dataCellStyle="Standard"/>
    <tableColumn id="2" name="einmalige_x000a_Kosten" dataDxfId="108" dataCellStyle="Standard"/>
    <tableColumn id="3" name="jährliche_x000a_Kosten" dataDxfId="107" dataCellStyle="Standard"/>
    <tableColumn id="4" name="Kosten_x000a_auf 5 Jahre" dataDxfId="106" dataCellStyle="Standard">
      <calculatedColumnFormula>D57+(E57*5)</calculatedColumnFormula>
    </tableColumn>
    <tableColumn id="5" name="Kosten_x000a_auf 10 Jahre" dataDxfId="105" dataCellStyle="Standard">
      <calculatedColumnFormula>D57+(10*E57)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le9810045" displayName="Tabelle9810045" ref="C84:G94" totalsRowShown="0" headerRowDxfId="104" dataDxfId="103" headerRowCellStyle="Standard" dataCellStyle="Standard">
  <autoFilter ref="C84:G94"/>
  <tableColumns count="5">
    <tableColumn id="1" name="Spalte1" dataDxfId="102" dataCellStyle="Standard"/>
    <tableColumn id="2" name="einmalige_x000a_Kosten" dataDxfId="101" dataCellStyle="Standard"/>
    <tableColumn id="3" name="jährliche_x000a_Kosten" dataDxfId="100" dataCellStyle="Standard"/>
    <tableColumn id="4" name="Kosten_x000a_auf 5 Jahre" dataDxfId="99" dataCellStyle="Standard">
      <calculatedColumnFormula>D85+(E85*5)</calculatedColumnFormula>
    </tableColumn>
    <tableColumn id="5" name="Kosten_x000a_auf 10 Jahre" dataDxfId="98" dataCellStyle="Standard">
      <calculatedColumnFormula>D85+(10*E85)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elle98100456" displayName="Tabelle98100456" ref="C112:G121" totalsRowShown="0" headerRowDxfId="97" dataDxfId="96" headerRowCellStyle="Standard" dataCellStyle="Standard">
  <autoFilter ref="C112:G121"/>
  <tableColumns count="5">
    <tableColumn id="1" name="Spalte1" dataDxfId="95" dataCellStyle="Standard"/>
    <tableColumn id="2" name="einmalige_x000a_Kosten" dataDxfId="94" dataCellStyle="Standard"/>
    <tableColumn id="3" name="jährliche_x000a_Kosten" dataDxfId="93" dataCellStyle="Standard"/>
    <tableColumn id="4" name="Kosten_x000a_auf 5 Jahre" dataDxfId="92" dataCellStyle="Standard">
      <calculatedColumnFormula>D113+(E113*5)</calculatedColumnFormula>
    </tableColumn>
    <tableColumn id="5" name="Kosten_x000a_auf 10 Jahre" dataDxfId="91" dataCellStyle="Standard">
      <calculatedColumnFormula>D113+(10*E113)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abelle981004568" displayName="Tabelle981004568" ref="C123:G133" totalsRowShown="0" headerRowDxfId="90" dataDxfId="89" headerRowCellStyle="Standard" dataCellStyle="Standard">
  <autoFilter ref="C123:G133"/>
  <tableColumns count="5">
    <tableColumn id="1" name="Spalte1" dataDxfId="88" dataCellStyle="Standard"/>
    <tableColumn id="2" name="einmalige_x000a_Kosten" dataDxfId="87" dataCellStyle="Standard"/>
    <tableColumn id="3" name="jährliche_x000a_Kosten" dataDxfId="86" dataCellStyle="Standard"/>
    <tableColumn id="4" name="Kosten_x000a_auf 5 Jahre" dataDxfId="85" dataCellStyle="Standard">
      <calculatedColumnFormula>D124+(E124*5)</calculatedColumnFormula>
    </tableColumn>
    <tableColumn id="5" name="Kosten_x000a_auf 10 Jahre" dataDxfId="84" dataCellStyle="Standard">
      <calculatedColumnFormula>D124+(10*E124)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elle9810047" displayName="Tabelle9810047" ref="C151:G161" totalsRowShown="0" headerRowDxfId="83" dataDxfId="82" headerRowCellStyle="Standard" dataCellStyle="Standard">
  <autoFilter ref="C151:G161"/>
  <tableColumns count="5">
    <tableColumn id="1" name="Spalte1" dataDxfId="81" dataCellStyle="Standard"/>
    <tableColumn id="2" name="einmalige_x000a_Kosten" dataDxfId="80" dataCellStyle="Standard"/>
    <tableColumn id="3" name="jährliche_x000a_Kosten" dataDxfId="79" dataCellStyle="Standard"/>
    <tableColumn id="4" name="Kosten_x000a_auf 5 Jahre" dataDxfId="78" dataCellStyle="Standard">
      <calculatedColumnFormula>D152+(E152*5)</calculatedColumnFormula>
    </tableColumn>
    <tableColumn id="5" name="Kosten_x000a_auf 10 Jahre" dataDxfId="77" dataCellStyle="Standard">
      <calculatedColumnFormula>D152+(10*E152)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elle98100479" displayName="Tabelle98100479" ref="C179:G190" totalsRowShown="0" headerRowDxfId="76" dataDxfId="75" headerRowCellStyle="Standard" dataCellStyle="Standard">
  <autoFilter ref="C179:G190"/>
  <tableColumns count="5">
    <tableColumn id="1" name="Spalte1" dataDxfId="74" dataCellStyle="Standard"/>
    <tableColumn id="2" name="einmalige_x000a_Kosten" dataDxfId="73" dataCellStyle="Standard"/>
    <tableColumn id="3" name="jährliche_x000a_Kosten" dataDxfId="72" dataCellStyle="Standard"/>
    <tableColumn id="4" name="Kosten_x000a_auf 5 Jahre" dataDxfId="71" dataCellStyle="Standard">
      <calculatedColumnFormula>D180+(E180*5)</calculatedColumnFormula>
    </tableColumn>
    <tableColumn id="5" name="Kosten_x000a_auf 10 Jahre" dataDxfId="70" dataCellStyle="Standard">
      <calculatedColumnFormula>D180+(10*E180)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2" name="Tabelle9823" displayName="Tabelle9823" ref="C10:G15" totalsRowShown="0" headerRowDxfId="69" dataDxfId="68">
  <autoFilter ref="C10:G15"/>
  <tableColumns count="5">
    <tableColumn id="1" name="Spalte1" dataDxfId="67"/>
    <tableColumn id="2" name="einmalige_x000a_Kosten" dataDxfId="66"/>
    <tableColumn id="3" name="jährliche_x000a_Kosten" dataDxfId="65"/>
    <tableColumn id="4" name="Kosten_x000a_auf 5 Jahre" dataDxfId="64">
      <calculatedColumnFormula>D11+(E11*5)</calculatedColumnFormula>
    </tableColumn>
    <tableColumn id="5" name="Kosten_x000a_auf 10 Jahre" dataDxfId="63">
      <calculatedColumnFormula>D11+(10*E11)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4" name="Tabelle9810025" displayName="Tabelle9810025" ref="C9:G16" totalsRowShown="0" headerRowDxfId="62" dataDxfId="61" headerRowCellStyle="Standard" dataCellStyle="Standard">
  <autoFilter ref="C9:G16"/>
  <tableColumns count="5">
    <tableColumn id="1" name="Spalte1" dataDxfId="60" dataCellStyle="Standard"/>
    <tableColumn id="2" name="einmalige_x000a_Kosten" dataDxfId="59" dataCellStyle="Standard"/>
    <tableColumn id="3" name="jährliche_x000a_Kosten" dataDxfId="58" dataCellStyle="Standard"/>
    <tableColumn id="4" name="Kosten_x000a_auf 5 Jahre" dataDxfId="57" dataCellStyle="Standard">
      <calculatedColumnFormula>D10+(E10*5)</calculatedColumnFormula>
    </tableColumn>
    <tableColumn id="5" name="Kosten_x000a_auf 10 Jahre" dataDxfId="56" dataCellStyle="Standard">
      <calculatedColumnFormula>D10+(10*E10)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9" name="Tabelle98100410" displayName="Tabelle98100410" ref="C16:G26" totalsRowShown="0" headerRowDxfId="55" dataDxfId="54" headerRowCellStyle="Standard" dataCellStyle="Standard">
  <autoFilter ref="C16:G26"/>
  <tableColumns count="5">
    <tableColumn id="1" name="Spalte1" dataDxfId="53" dataCellStyle="Standard"/>
    <tableColumn id="2" name="einmalige_x000a_Kosten" dataDxfId="52" dataCellStyle="Standard"/>
    <tableColumn id="3" name="jährliche_x000a_Kosten" dataDxfId="51" dataCellStyle="Standard"/>
    <tableColumn id="4" name="Kosten_x000a_auf 5 Jahre" dataDxfId="50" dataCellStyle="Standard">
      <calculatedColumnFormula>D17+(E17*5)</calculatedColumnFormula>
    </tableColumn>
    <tableColumn id="5" name="Kosten_x000a_auf 10 Jahre" dataDxfId="49" dataCellStyle="Standard">
      <calculatedColumnFormula>D17+(E17*10)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0" name="Tabelle981004511" displayName="Tabelle981004511" ref="C44:G54" totalsRowShown="0" headerRowDxfId="48" dataDxfId="47" headerRowCellStyle="Standard" dataCellStyle="Standard">
  <autoFilter ref="C44:G54"/>
  <tableColumns count="5">
    <tableColumn id="1" name="Spalte1" dataDxfId="46" dataCellStyle="Standard"/>
    <tableColumn id="2" name="einmalige_x000a_Kosten" dataDxfId="45" dataCellStyle="Standard"/>
    <tableColumn id="3" name="jährliche_x000a_Kosten" dataDxfId="44" dataCellStyle="Standard"/>
    <tableColumn id="4" name="Kosten_x000a_auf 5 Jahre" dataDxfId="43" dataCellStyle="Standard">
      <calculatedColumnFormula>D45+(E45*5)</calculatedColumnFormula>
    </tableColumn>
    <tableColumn id="5" name="Kosten_x000a_auf 10 Jahre" dataDxfId="42" dataCellStyle="Standard">
      <calculatedColumnFormula>D45+(E45*10)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26" name="Tabelle9810045627" displayName="Tabelle9810045627" ref="C15:G24" totalsRowShown="0" headerRowDxfId="41" dataDxfId="40" headerRowCellStyle="Standard" dataCellStyle="Standard">
  <autoFilter ref="C15:G24"/>
  <tableColumns count="5">
    <tableColumn id="1" name="Spalte1" dataDxfId="39" dataCellStyle="Standard"/>
    <tableColumn id="2" name="einmalige_x000a_Kosten" dataDxfId="38" dataCellStyle="Standard"/>
    <tableColumn id="3" name="jährliche_x000a_Kosten" dataDxfId="37" dataCellStyle="Standard"/>
    <tableColumn id="4" name="Kosten_x000a_auf 5 Jahre" dataDxfId="36" dataCellStyle="Standard">
      <calculatedColumnFormula>D16+(E16*5)</calculatedColumnFormula>
    </tableColumn>
    <tableColumn id="5" name="Kosten_x000a_auf 10 Jahre" dataDxfId="35" dataCellStyle="Standard">
      <calculatedColumnFormula>D16+(10*E16)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27" name="Tabelle98100456828" displayName="Tabelle98100456828" ref="C26:G36" totalsRowShown="0" headerRowDxfId="34" dataDxfId="33" headerRowCellStyle="Standard" dataCellStyle="Standard">
  <autoFilter ref="C26:G36"/>
  <tableColumns count="5">
    <tableColumn id="1" name="Spalte1" dataDxfId="32" dataCellStyle="Standard"/>
    <tableColumn id="2" name="einmalige_x000a_Kosten" dataDxfId="31" dataCellStyle="Standard"/>
    <tableColumn id="3" name="jährliche_x000a_Kosten" dataDxfId="30" dataCellStyle="Standard"/>
    <tableColumn id="4" name="Kosten_x000a_auf 5 Jahre" dataDxfId="29" dataCellStyle="Standard">
      <calculatedColumnFormula>Tabelle98100456828[[#This Row],[einmalige
Kosten]]+(5*Tabelle98100456828[[#This Row],[jährliche
Kosten]])</calculatedColumnFormula>
    </tableColumn>
    <tableColumn id="5" name="Kosten_x000a_auf 10 Jahre" dataDxfId="28" dataCellStyle="Standard">
      <calculatedColumnFormula>Tabelle98100456828[[#This Row],[einmalige
Kosten]]+(10*Tabelle98100456828[[#This Row],[jährliche
Kosten]])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4" name="Tabelle981004715" displayName="Tabelle981004715" ref="C16:G26" totalsRowShown="0" headerRowDxfId="27" dataDxfId="26" headerRowCellStyle="Standard" dataCellStyle="Standard">
  <autoFilter ref="C16:G26"/>
  <tableColumns count="5">
    <tableColumn id="1" name="Spalte1" dataDxfId="25" dataCellStyle="Standard"/>
    <tableColumn id="2" name="einmalige_x000a_Kosten" dataDxfId="24" dataCellStyle="Standard"/>
    <tableColumn id="3" name="jährliche_x000a_Kosten" dataDxfId="23" dataCellStyle="Standard"/>
    <tableColumn id="4" name="Kosten_x000a_auf 5 Jahre" dataDxfId="22" dataCellStyle="Standard">
      <calculatedColumnFormula>Tabelle981004715[[#This Row],[einmalige
Kosten]]+(Tabelle981004715[[#This Row],[jährliche
Kosten]]*5)</calculatedColumnFormula>
    </tableColumn>
    <tableColumn id="5" name="Kosten_x000a_auf 10 Jahre" dataDxfId="21" dataCellStyle="Standard">
      <calculatedColumnFormula>Tabelle981004715[[#This Row],[einmalige
Kosten]]+(10*Tabelle981004715[[#This Row],[jährliche
Kosten]])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1" name="Tabelle98100471512" displayName="Tabelle98100471512" ref="C45:G55" totalsRowShown="0" headerRowDxfId="20" dataDxfId="19" headerRowCellStyle="Standard" dataCellStyle="Standard">
  <autoFilter ref="C45:G55"/>
  <tableColumns count="5">
    <tableColumn id="1" name="Spalte1" dataDxfId="18" dataCellStyle="Standard"/>
    <tableColumn id="2" name="einmalige_x000a_Kosten" dataDxfId="17" dataCellStyle="Standard"/>
    <tableColumn id="3" name="jährliche_x000a_Kosten" dataDxfId="16" dataCellStyle="Standard"/>
    <tableColumn id="4" name="Kosten_x000a_auf 5 Jahre" dataDxfId="15" dataCellStyle="Standard">
      <calculatedColumnFormula>Tabelle98100471512[[#This Row],[einmalige
Kosten]]+(Tabelle98100471512[[#This Row],[jährliche
Kosten]]*5)</calculatedColumnFormula>
    </tableColumn>
    <tableColumn id="5" name="Kosten_x000a_auf 10 Jahre" dataDxfId="14" dataCellStyle="Standard">
      <calculatedColumnFormula>Tabelle98100471512[[#This Row],[einmalige
Kosten]]+(10*Tabelle98100471512[[#This Row],[jährliche
Kosten]])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6" name="Tabelle9810047917" displayName="Tabelle9810047917" ref="C16:G27" totalsRowShown="0" headerRowDxfId="13" dataDxfId="12" headerRowCellStyle="Standard" dataCellStyle="Standard">
  <autoFilter ref="C16:G27"/>
  <tableColumns count="5">
    <tableColumn id="1" name="Spalte1" dataDxfId="11" dataCellStyle="Standard"/>
    <tableColumn id="2" name="einmalige_x000a_Kosten" dataDxfId="10" dataCellStyle="Standard"/>
    <tableColumn id="3" name="jährliche_x000a_Kosten" dataDxfId="9" dataCellStyle="Standard"/>
    <tableColumn id="4" name="Kosten_x000a_auf 5 Jahre" dataDxfId="8" dataCellStyle="Standard">
      <calculatedColumnFormula>Tabelle9810047917[[#This Row],[einmalige
Kosten]]+(5*Tabelle9810047917[[#This Row],[jährliche
Kosten]])</calculatedColumnFormula>
    </tableColumn>
    <tableColumn id="5" name="Kosten_x000a_auf 10 Jahre" dataDxfId="7" dataCellStyle="Standard">
      <calculatedColumnFormula>Tabelle9810047917[[#This Row],[einmalige
Kosten]]+(10*Tabelle9810047917[[#This Row],[jährliche
Kosten]])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2" name="Tabelle981004791713" displayName="Tabelle981004791713" ref="C46:G57" totalsRowShown="0" headerRowDxfId="6" dataDxfId="5" headerRowCellStyle="Standard" dataCellStyle="Standard">
  <autoFilter ref="C46:G57"/>
  <tableColumns count="5">
    <tableColumn id="1" name="Spalte1" dataDxfId="4" dataCellStyle="Standard"/>
    <tableColumn id="2" name="einmalige_x000a_Kosten" dataDxfId="3" dataCellStyle="Standard"/>
    <tableColumn id="3" name="jährliche_x000a_Kosten" dataDxfId="2" dataCellStyle="Standard"/>
    <tableColumn id="4" name="Kosten_x000a_auf 5 Jahre" dataDxfId="1" dataCellStyle="Standard">
      <calculatedColumnFormula>Tabelle981004791713[[#This Row],[einmalige
Kosten]]+(5*Tabelle981004791713[[#This Row],[jährliche
Kosten]])</calculatedColumnFormula>
    </tableColumn>
    <tableColumn id="5" name="Kosten_x000a_auf 10 Jahre" dataDxfId="0" dataCellStyle="Standard">
      <calculatedColumnFormula>Tabelle981004791713[[#This Row],[einmalige
Kosten]]+(10*Tabelle981004791713[[#This Row],[jährliche
Kosten]])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2"/>
  <sheetViews>
    <sheetView topLeftCell="A100" workbookViewId="0">
      <selection activeCell="B99" sqref="B99:K134"/>
    </sheetView>
  </sheetViews>
  <sheetFormatPr baseColWidth="10" defaultColWidth="9.140625" defaultRowHeight="15" x14ac:dyDescent="0.25"/>
  <cols>
    <col min="1" max="1" width="5.85546875" customWidth="1"/>
    <col min="2" max="2" width="17.85546875" bestFit="1" customWidth="1"/>
    <col min="3" max="3" width="23.7109375" bestFit="1" customWidth="1"/>
    <col min="4" max="4" width="13.5703125" bestFit="1" customWidth="1"/>
    <col min="5" max="5" width="12.85546875" bestFit="1" customWidth="1"/>
    <col min="6" max="7" width="11.7109375" bestFit="1" customWidth="1"/>
    <col min="8" max="8" width="36.140625" bestFit="1" customWidth="1"/>
    <col min="9" max="9" width="14.140625" bestFit="1" customWidth="1"/>
    <col min="10" max="10" width="6.42578125" bestFit="1" customWidth="1"/>
  </cols>
  <sheetData>
    <row r="1" spans="2:11" ht="15.75" thickBot="1" x14ac:dyDescent="0.3"/>
    <row r="2" spans="2:11" ht="18.7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x14ac:dyDescent="0.25">
      <c r="B3" s="4"/>
      <c r="C3" s="5"/>
      <c r="D3" s="5"/>
      <c r="E3" s="5"/>
      <c r="F3" s="5"/>
      <c r="G3" s="5"/>
      <c r="H3" s="5"/>
      <c r="I3" s="5"/>
      <c r="J3" s="5"/>
      <c r="K3" s="6"/>
    </row>
    <row r="4" spans="2:11" x14ac:dyDescent="0.25">
      <c r="B4" s="7" t="s">
        <v>1</v>
      </c>
      <c r="C4" s="21">
        <v>210.4</v>
      </c>
      <c r="D4" s="8" t="s">
        <v>2</v>
      </c>
      <c r="E4" s="5"/>
      <c r="F4" s="5"/>
      <c r="G4" s="5"/>
      <c r="H4" s="5"/>
      <c r="I4" s="5"/>
      <c r="J4" s="5"/>
      <c r="K4" s="6"/>
    </row>
    <row r="5" spans="2:11" x14ac:dyDescent="0.25">
      <c r="B5" s="7" t="s">
        <v>3</v>
      </c>
      <c r="C5" s="21">
        <v>0.86</v>
      </c>
      <c r="D5" s="5"/>
      <c r="E5" s="5"/>
      <c r="F5" s="5"/>
      <c r="G5" s="5"/>
      <c r="H5" s="5"/>
      <c r="I5" s="5"/>
      <c r="J5" s="5"/>
      <c r="K5" s="6"/>
    </row>
    <row r="6" spans="2:11" x14ac:dyDescent="0.25">
      <c r="B6" s="7" t="s">
        <v>4</v>
      </c>
      <c r="C6" s="21">
        <v>6</v>
      </c>
      <c r="D6" s="8" t="s">
        <v>5</v>
      </c>
      <c r="E6" s="5"/>
      <c r="F6" s="5"/>
      <c r="G6" s="5"/>
      <c r="H6" s="5"/>
      <c r="I6" s="5"/>
      <c r="J6" s="5"/>
      <c r="K6" s="6"/>
    </row>
    <row r="7" spans="2:11" x14ac:dyDescent="0.25">
      <c r="B7" s="7" t="s">
        <v>6</v>
      </c>
      <c r="C7" s="21">
        <v>81.900000000000006</v>
      </c>
      <c r="D7" s="8" t="s">
        <v>7</v>
      </c>
      <c r="E7" s="5"/>
      <c r="F7" s="5"/>
      <c r="G7" s="5"/>
      <c r="H7" s="5"/>
      <c r="I7" s="5"/>
      <c r="J7" s="5"/>
      <c r="K7" s="6"/>
    </row>
    <row r="8" spans="2:11" x14ac:dyDescent="0.25">
      <c r="B8" s="4"/>
      <c r="C8" s="5"/>
      <c r="D8" s="5"/>
      <c r="E8" s="5"/>
      <c r="F8" s="5"/>
      <c r="G8" s="5"/>
      <c r="H8" s="5"/>
      <c r="I8" s="5"/>
      <c r="J8" s="5"/>
      <c r="K8" s="6"/>
    </row>
    <row r="9" spans="2:11" x14ac:dyDescent="0.25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1" ht="30" x14ac:dyDescent="0.25">
      <c r="B10" s="4"/>
      <c r="C10" s="9" t="s">
        <v>8</v>
      </c>
      <c r="D10" s="10" t="s">
        <v>9</v>
      </c>
      <c r="E10" s="10" t="s">
        <v>50</v>
      </c>
      <c r="F10" s="10" t="s">
        <v>10</v>
      </c>
      <c r="G10" s="10" t="s">
        <v>11</v>
      </c>
      <c r="H10" s="5"/>
      <c r="I10" s="5"/>
      <c r="J10" s="5"/>
      <c r="K10" s="6"/>
    </row>
    <row r="11" spans="2:11" x14ac:dyDescent="0.25">
      <c r="B11" s="4"/>
      <c r="C11" s="9" t="s">
        <v>12</v>
      </c>
      <c r="D11" s="11">
        <v>8500</v>
      </c>
      <c r="E11" s="12"/>
      <c r="F11" s="11">
        <f t="shared" ref="F11:F15" si="0">D11+(E11*5)</f>
        <v>8500</v>
      </c>
      <c r="G11" s="11">
        <f t="shared" ref="G11:G15" si="1">D11+(10*E11)</f>
        <v>8500</v>
      </c>
      <c r="H11" s="5"/>
      <c r="I11" s="5"/>
      <c r="J11" s="5"/>
      <c r="K11" s="6"/>
    </row>
    <row r="12" spans="2:11" x14ac:dyDescent="0.25">
      <c r="B12" s="4"/>
      <c r="C12" s="9" t="s">
        <v>13</v>
      </c>
      <c r="D12" s="11">
        <v>10000</v>
      </c>
      <c r="E12" s="12">
        <v>600</v>
      </c>
      <c r="F12" s="11">
        <f>D12+(E12*5)</f>
        <v>13000</v>
      </c>
      <c r="G12" s="11">
        <f t="shared" si="1"/>
        <v>16000</v>
      </c>
      <c r="H12" s="5"/>
      <c r="I12" s="5"/>
      <c r="J12" s="5"/>
      <c r="K12" s="6"/>
    </row>
    <row r="13" spans="2:11" x14ac:dyDescent="0.25">
      <c r="B13" s="4"/>
      <c r="C13" s="9" t="s">
        <v>14</v>
      </c>
      <c r="D13" s="11">
        <v>8320</v>
      </c>
      <c r="E13" s="12"/>
      <c r="F13" s="11">
        <f t="shared" si="0"/>
        <v>8320</v>
      </c>
      <c r="G13" s="11">
        <f t="shared" si="1"/>
        <v>8320</v>
      </c>
      <c r="H13" s="5"/>
      <c r="I13" s="5"/>
      <c r="J13" s="5"/>
      <c r="K13" s="6"/>
    </row>
    <row r="14" spans="2:11" x14ac:dyDescent="0.25">
      <c r="B14" s="4"/>
      <c r="C14" s="13" t="s">
        <v>16</v>
      </c>
      <c r="D14" s="15"/>
      <c r="E14" s="11">
        <f>((C4*1000)/C5)*(C6/100)</f>
        <v>14679.069767441861</v>
      </c>
      <c r="F14" s="11">
        <f t="shared" si="0"/>
        <v>73395.348837209298</v>
      </c>
      <c r="G14" s="11">
        <f t="shared" si="1"/>
        <v>146790.6976744186</v>
      </c>
      <c r="H14" s="8" t="s">
        <v>49</v>
      </c>
      <c r="I14" s="14">
        <f>((C4*1000/0.774)*(C7/1000))/(C4*1000)*100</f>
        <v>10.58139534883721</v>
      </c>
      <c r="J14" s="8" t="s">
        <v>76</v>
      </c>
      <c r="K14" s="6"/>
    </row>
    <row r="15" spans="2:11" x14ac:dyDescent="0.25">
      <c r="B15" s="4"/>
      <c r="C15" s="16" t="s">
        <v>18</v>
      </c>
      <c r="D15" s="17">
        <f>SUM(D11:D14)</f>
        <v>26820</v>
      </c>
      <c r="E15" s="17">
        <f>SUM(E11:E14)</f>
        <v>15279.069767441861</v>
      </c>
      <c r="F15" s="17">
        <f t="shared" si="0"/>
        <v>103215.3488372093</v>
      </c>
      <c r="G15" s="17">
        <f t="shared" si="1"/>
        <v>179610.6976744186</v>
      </c>
      <c r="H15" s="8" t="s">
        <v>17</v>
      </c>
      <c r="I15" s="14">
        <f>(G15/10)/(C4*1000)*100</f>
        <v>8.536630117605446</v>
      </c>
      <c r="J15" s="8" t="s">
        <v>76</v>
      </c>
      <c r="K15" s="6"/>
    </row>
    <row r="16" spans="2:11" x14ac:dyDescent="0.25">
      <c r="B16" s="4"/>
      <c r="C16" s="16"/>
      <c r="D16" s="17"/>
      <c r="E16" s="17"/>
      <c r="F16" s="17"/>
      <c r="G16" s="17"/>
      <c r="H16" s="8"/>
      <c r="I16" s="14"/>
      <c r="J16" s="8"/>
      <c r="K16" s="6"/>
    </row>
    <row r="17" spans="2:11" x14ac:dyDescent="0.25">
      <c r="B17" s="4"/>
      <c r="H17" s="5"/>
      <c r="I17" s="5"/>
      <c r="J17" s="5"/>
      <c r="K17" s="6"/>
    </row>
    <row r="18" spans="2:11" ht="15.75" thickBo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20"/>
    </row>
    <row r="21" spans="2:11" ht="15.75" thickBot="1" x14ac:dyDescent="0.3"/>
    <row r="22" spans="2:11" ht="18.75" thickBot="1" x14ac:dyDescent="0.3">
      <c r="B22" s="1" t="s">
        <v>19</v>
      </c>
      <c r="C22" s="2"/>
      <c r="D22" s="2"/>
      <c r="E22" s="2"/>
      <c r="F22" s="2"/>
      <c r="G22" s="2"/>
      <c r="H22" s="2"/>
      <c r="I22" s="2"/>
      <c r="J22" s="2"/>
      <c r="K22" s="3"/>
    </row>
    <row r="23" spans="2:11" x14ac:dyDescent="0.25">
      <c r="B23" s="4"/>
      <c r="E23" s="5"/>
      <c r="F23" s="5"/>
      <c r="G23" s="5"/>
      <c r="H23" s="5"/>
      <c r="I23" s="5"/>
      <c r="J23" s="5"/>
      <c r="K23" s="6"/>
    </row>
    <row r="24" spans="2:11" x14ac:dyDescent="0.25">
      <c r="B24" s="7" t="s">
        <v>1</v>
      </c>
      <c r="C24" s="21">
        <v>210.4</v>
      </c>
      <c r="D24" s="8" t="s">
        <v>2</v>
      </c>
      <c r="E24" s="5"/>
      <c r="F24" s="5"/>
      <c r="G24" s="5"/>
      <c r="H24" s="5"/>
      <c r="I24" s="5"/>
      <c r="J24" s="5"/>
      <c r="K24" s="6"/>
    </row>
    <row r="25" spans="2:11" x14ac:dyDescent="0.25">
      <c r="B25" s="7" t="s">
        <v>3</v>
      </c>
      <c r="C25" s="21">
        <v>0.86</v>
      </c>
      <c r="D25" s="5"/>
      <c r="E25" s="5"/>
      <c r="F25" s="5"/>
      <c r="G25" s="5"/>
      <c r="H25" s="5"/>
      <c r="I25" s="5"/>
      <c r="J25" s="5"/>
      <c r="K25" s="6"/>
    </row>
    <row r="26" spans="2:11" x14ac:dyDescent="0.25">
      <c r="B26" s="7" t="s">
        <v>4</v>
      </c>
      <c r="C26" s="21">
        <v>6</v>
      </c>
      <c r="D26" s="8" t="s">
        <v>5</v>
      </c>
      <c r="E26" s="5"/>
      <c r="F26" s="5"/>
      <c r="G26" s="5"/>
      <c r="H26" s="5"/>
      <c r="I26" s="5"/>
      <c r="J26" s="5"/>
      <c r="K26" s="6"/>
    </row>
    <row r="27" spans="2:11" x14ac:dyDescent="0.25">
      <c r="B27" s="7" t="s">
        <v>6</v>
      </c>
      <c r="C27" s="21">
        <v>81.900000000000006</v>
      </c>
      <c r="D27" s="8" t="s">
        <v>7</v>
      </c>
      <c r="E27" s="5"/>
      <c r="F27" s="5"/>
      <c r="G27" s="5"/>
      <c r="H27" s="5"/>
      <c r="I27" s="5"/>
      <c r="J27" s="5"/>
      <c r="K27" s="6"/>
    </row>
    <row r="28" spans="2:11" x14ac:dyDescent="0.25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ht="30" x14ac:dyDescent="0.25">
      <c r="B29" s="4"/>
      <c r="C29" s="9" t="s">
        <v>8</v>
      </c>
      <c r="D29" s="10" t="s">
        <v>9</v>
      </c>
      <c r="E29" s="10" t="s">
        <v>50</v>
      </c>
      <c r="F29" s="10" t="s">
        <v>10</v>
      </c>
      <c r="G29" s="10" t="s">
        <v>11</v>
      </c>
      <c r="H29" s="5"/>
      <c r="I29" s="5"/>
      <c r="J29" s="5"/>
      <c r="K29" s="6"/>
    </row>
    <row r="30" spans="2:11" x14ac:dyDescent="0.25">
      <c r="B30" s="4"/>
      <c r="C30" s="9" t="s">
        <v>20</v>
      </c>
      <c r="D30" s="11">
        <v>3777.6</v>
      </c>
      <c r="E30" s="11"/>
      <c r="F30" s="11">
        <f>D30+(E30*5)</f>
        <v>3777.6</v>
      </c>
      <c r="G30" s="11">
        <f>D30+(10*E30)</f>
        <v>3777.6</v>
      </c>
      <c r="H30" s="5"/>
      <c r="I30" s="5"/>
      <c r="J30" s="5"/>
      <c r="K30" s="6"/>
    </row>
    <row r="31" spans="2:11" x14ac:dyDescent="0.25">
      <c r="B31" s="4"/>
      <c r="C31" s="9" t="s">
        <v>21</v>
      </c>
      <c r="D31" s="11">
        <v>6000</v>
      </c>
      <c r="E31" s="11">
        <v>400</v>
      </c>
      <c r="F31" s="11">
        <f t="shared" ref="F31:F35" si="2">D31+(E31*5)</f>
        <v>8000</v>
      </c>
      <c r="G31" s="11">
        <f t="shared" ref="G31:G35" si="3">D31+(10*E31)</f>
        <v>10000</v>
      </c>
      <c r="H31" s="5"/>
      <c r="I31" s="5"/>
      <c r="J31" s="5"/>
      <c r="K31" s="6"/>
    </row>
    <row r="32" spans="2:11" x14ac:dyDescent="0.25">
      <c r="B32" s="4"/>
      <c r="C32" s="9" t="s">
        <v>22</v>
      </c>
      <c r="D32" s="11">
        <v>21000</v>
      </c>
      <c r="E32" s="11"/>
      <c r="F32" s="11">
        <f t="shared" si="2"/>
        <v>21000</v>
      </c>
      <c r="G32" s="11">
        <f t="shared" si="3"/>
        <v>21000</v>
      </c>
      <c r="H32" s="5"/>
      <c r="I32" s="5"/>
      <c r="J32" s="5"/>
      <c r="K32" s="6"/>
    </row>
    <row r="33" spans="2:11" x14ac:dyDescent="0.25">
      <c r="B33" s="4"/>
      <c r="C33" s="9" t="s">
        <v>23</v>
      </c>
      <c r="D33" s="11">
        <v>7600</v>
      </c>
      <c r="E33" s="11"/>
      <c r="F33" s="11">
        <f t="shared" si="2"/>
        <v>7600</v>
      </c>
      <c r="G33" s="11">
        <f t="shared" si="3"/>
        <v>7600</v>
      </c>
      <c r="H33" s="5"/>
      <c r="I33" s="5"/>
      <c r="J33" s="5"/>
      <c r="K33" s="6"/>
    </row>
    <row r="34" spans="2:11" x14ac:dyDescent="0.25">
      <c r="B34" s="4"/>
      <c r="C34" s="9" t="s">
        <v>14</v>
      </c>
      <c r="D34" s="11">
        <v>8320</v>
      </c>
      <c r="E34" s="11"/>
      <c r="F34" s="11">
        <f t="shared" si="2"/>
        <v>8320</v>
      </c>
      <c r="G34" s="11">
        <f t="shared" si="3"/>
        <v>8320</v>
      </c>
      <c r="H34" s="8" t="s">
        <v>15</v>
      </c>
      <c r="I34" s="14">
        <f>((C24*1000/0.774)*(C27/1000))/(C24*1000)*100</f>
        <v>10.58139534883721</v>
      </c>
      <c r="J34" s="8" t="s">
        <v>76</v>
      </c>
      <c r="K34" s="6"/>
    </row>
    <row r="35" spans="2:11" x14ac:dyDescent="0.25">
      <c r="B35" s="4"/>
      <c r="C35" s="9" t="s">
        <v>16</v>
      </c>
      <c r="D35" s="11"/>
      <c r="E35" s="11">
        <f>(C24*1000)/C25*(C26/100)</f>
        <v>14679.069767441861</v>
      </c>
      <c r="F35" s="11">
        <f t="shared" si="2"/>
        <v>73395.348837209298</v>
      </c>
      <c r="G35" s="11">
        <f t="shared" si="3"/>
        <v>146790.6976744186</v>
      </c>
      <c r="H35" s="8" t="s">
        <v>17</v>
      </c>
      <c r="I35" s="14">
        <f>(G36/10)/(C24*1000)*100</f>
        <v>9.3863259350959414</v>
      </c>
      <c r="J35" s="8" t="s">
        <v>76</v>
      </c>
      <c r="K35" s="6"/>
    </row>
    <row r="36" spans="2:11" x14ac:dyDescent="0.25">
      <c r="B36" s="4"/>
      <c r="C36" s="16" t="s">
        <v>18</v>
      </c>
      <c r="D36" s="17">
        <f>SUM(D30:D35)</f>
        <v>46697.599999999999</v>
      </c>
      <c r="E36" s="17">
        <f>SUM(E30:E35)</f>
        <v>15079.069767441861</v>
      </c>
      <c r="F36" s="17">
        <f>D36+(E36*5)</f>
        <v>122092.94883720929</v>
      </c>
      <c r="G36" s="17">
        <f>D36+(10*E36)</f>
        <v>197488.2976744186</v>
      </c>
      <c r="H36" s="5"/>
      <c r="I36" s="5"/>
      <c r="J36" s="5"/>
      <c r="K36" s="6"/>
    </row>
    <row r="37" spans="2:11" x14ac:dyDescent="0.25">
      <c r="B37" s="4"/>
      <c r="H37" s="5"/>
      <c r="I37" s="5"/>
      <c r="J37" s="5"/>
      <c r="K37" s="6"/>
    </row>
    <row r="38" spans="2:11" x14ac:dyDescent="0.25">
      <c r="B38" s="4"/>
      <c r="H38" s="5"/>
      <c r="I38" s="5"/>
      <c r="J38" s="5"/>
      <c r="K38" s="6"/>
    </row>
    <row r="39" spans="2:11" ht="15.75" thickBot="1" x14ac:dyDescent="0.3">
      <c r="B39" s="18"/>
      <c r="C39" s="19"/>
      <c r="D39" s="19"/>
      <c r="E39" s="19"/>
      <c r="F39" s="19"/>
      <c r="G39" s="19"/>
      <c r="H39" s="19"/>
      <c r="I39" s="19"/>
      <c r="J39" s="19"/>
      <c r="K39" s="20"/>
    </row>
    <row r="42" spans="2:11" ht="15.75" thickBot="1" x14ac:dyDescent="0.3"/>
    <row r="43" spans="2:11" ht="18.75" thickBot="1" x14ac:dyDescent="0.3">
      <c r="B43" s="1" t="s">
        <v>51</v>
      </c>
      <c r="C43" s="36" t="s">
        <v>61</v>
      </c>
      <c r="D43" s="2"/>
      <c r="E43" s="2"/>
      <c r="F43" s="2"/>
      <c r="G43" s="2"/>
      <c r="H43" s="2"/>
      <c r="I43" s="2"/>
      <c r="J43" s="2"/>
      <c r="K43" s="3"/>
    </row>
    <row r="44" spans="2:11" x14ac:dyDescent="0.25">
      <c r="B44" s="4"/>
      <c r="C44" s="5"/>
      <c r="D44" s="5"/>
      <c r="E44" s="5"/>
      <c r="F44" s="5"/>
      <c r="G44" s="5"/>
      <c r="H44" s="5"/>
      <c r="I44" s="5"/>
      <c r="J44" s="5"/>
      <c r="K44" s="6"/>
    </row>
    <row r="45" spans="2:11" x14ac:dyDescent="0.25">
      <c r="B45" s="7" t="s">
        <v>60</v>
      </c>
      <c r="C45" s="21">
        <v>245.74</v>
      </c>
      <c r="D45" s="8" t="s">
        <v>2</v>
      </c>
      <c r="E45" s="5"/>
      <c r="F45" s="5"/>
      <c r="G45" s="5"/>
      <c r="H45" s="5"/>
      <c r="I45" s="5"/>
      <c r="J45" s="5"/>
      <c r="K45" s="6"/>
    </row>
    <row r="46" spans="2:11" x14ac:dyDescent="0.25">
      <c r="B46" s="7" t="s">
        <v>67</v>
      </c>
      <c r="C46" s="21">
        <v>210.4</v>
      </c>
      <c r="D46" s="5" t="s">
        <v>2</v>
      </c>
      <c r="E46" s="5"/>
      <c r="F46" s="5"/>
      <c r="G46" s="5"/>
      <c r="H46" s="5"/>
      <c r="I46" s="5"/>
      <c r="J46" s="5"/>
      <c r="K46" s="6"/>
    </row>
    <row r="47" spans="2:11" x14ac:dyDescent="0.25">
      <c r="B47" s="7" t="s">
        <v>4</v>
      </c>
      <c r="C47" s="21">
        <v>6</v>
      </c>
      <c r="D47" s="8" t="s">
        <v>5</v>
      </c>
      <c r="E47" s="5"/>
      <c r="F47" s="5"/>
      <c r="G47" s="5"/>
      <c r="H47" s="5"/>
      <c r="I47" s="5"/>
      <c r="J47" s="5"/>
      <c r="K47" s="6"/>
    </row>
    <row r="48" spans="2:11" x14ac:dyDescent="0.25">
      <c r="B48" s="7" t="s">
        <v>6</v>
      </c>
      <c r="C48" s="21">
        <v>81.900000000000006</v>
      </c>
      <c r="D48" s="8" t="s">
        <v>7</v>
      </c>
      <c r="E48" s="5"/>
      <c r="F48" s="5"/>
      <c r="G48" s="5"/>
      <c r="H48" s="5"/>
      <c r="I48" s="5"/>
      <c r="J48" s="5"/>
      <c r="K48" s="6"/>
    </row>
    <row r="49" spans="2:11" x14ac:dyDescent="0.25">
      <c r="B49" s="35" t="s">
        <v>56</v>
      </c>
      <c r="C49" s="21">
        <v>5.2</v>
      </c>
      <c r="D49" s="34" t="s">
        <v>57</v>
      </c>
      <c r="E49" s="5"/>
      <c r="F49" s="5"/>
      <c r="G49" s="5"/>
      <c r="H49" s="5"/>
      <c r="I49" s="5"/>
      <c r="J49" s="5"/>
      <c r="K49" s="6"/>
    </row>
    <row r="50" spans="2:11" x14ac:dyDescent="0.25">
      <c r="B50" s="35" t="s">
        <v>58</v>
      </c>
      <c r="C50" s="21">
        <v>5500</v>
      </c>
      <c r="D50" s="34" t="s">
        <v>59</v>
      </c>
      <c r="E50" s="5"/>
      <c r="F50" s="5"/>
      <c r="G50" s="5"/>
      <c r="H50" s="5"/>
      <c r="I50" s="5"/>
      <c r="J50" s="5"/>
      <c r="K50" s="6"/>
    </row>
    <row r="51" spans="2:11" x14ac:dyDescent="0.25">
      <c r="B51" s="4" t="s">
        <v>55</v>
      </c>
      <c r="C51" s="21">
        <v>13</v>
      </c>
      <c r="D51" s="34" t="s">
        <v>5</v>
      </c>
      <c r="E51" s="5"/>
      <c r="F51" s="5"/>
      <c r="G51" s="5"/>
      <c r="H51" s="5"/>
      <c r="I51" s="5"/>
      <c r="J51" s="5"/>
      <c r="K51" s="6"/>
    </row>
    <row r="52" spans="2:11" x14ac:dyDescent="0.25">
      <c r="B52" s="4"/>
      <c r="C52" s="5"/>
      <c r="D52" s="5"/>
      <c r="E52" s="5"/>
      <c r="F52" s="5"/>
      <c r="G52" s="5"/>
      <c r="H52" s="5"/>
      <c r="I52" s="5"/>
      <c r="J52" s="5"/>
      <c r="K52" s="6"/>
    </row>
    <row r="53" spans="2:11" x14ac:dyDescent="0.25">
      <c r="B53" s="4"/>
      <c r="C53" s="5"/>
      <c r="D53" s="5"/>
      <c r="E53" s="5"/>
      <c r="F53" s="5"/>
      <c r="G53" s="5"/>
      <c r="H53" s="5"/>
      <c r="I53" s="5"/>
      <c r="J53" s="5"/>
      <c r="K53" s="6"/>
    </row>
    <row r="54" spans="2:11" x14ac:dyDescent="0.25">
      <c r="B54" s="4"/>
      <c r="C54" s="5"/>
      <c r="D54" s="5"/>
      <c r="E54" s="5"/>
      <c r="F54" s="5"/>
      <c r="G54" s="5"/>
      <c r="H54" s="5"/>
      <c r="I54" s="5"/>
      <c r="J54" s="5"/>
      <c r="K54" s="6"/>
    </row>
    <row r="55" spans="2:11" x14ac:dyDescent="0.25">
      <c r="B55" s="4"/>
      <c r="C55" s="5"/>
      <c r="D55" s="5"/>
      <c r="E55" s="5"/>
      <c r="F55" s="5"/>
      <c r="G55" s="5"/>
      <c r="H55" s="8" t="s">
        <v>15</v>
      </c>
      <c r="I55" s="14">
        <f>((C45*1000/0.774)*(C48/1000))/(C45*1000)*100</f>
        <v>10.58139534883721</v>
      </c>
      <c r="J55" s="8" t="s">
        <v>76</v>
      </c>
      <c r="K55" s="6"/>
    </row>
    <row r="56" spans="2:11" ht="30" x14ac:dyDescent="0.25">
      <c r="B56" s="4"/>
      <c r="C56" s="9" t="s">
        <v>8</v>
      </c>
      <c r="D56" s="10" t="s">
        <v>9</v>
      </c>
      <c r="E56" s="10" t="s">
        <v>50</v>
      </c>
      <c r="F56" s="10" t="s">
        <v>10</v>
      </c>
      <c r="G56" s="10" t="s">
        <v>11</v>
      </c>
      <c r="H56" s="8" t="s">
        <v>17</v>
      </c>
      <c r="I56" s="14">
        <f>(G66/10)/(C46*1000)*100</f>
        <v>10.041711026615971</v>
      </c>
      <c r="J56" s="8" t="s">
        <v>76</v>
      </c>
      <c r="K56" s="6"/>
    </row>
    <row r="57" spans="2:11" x14ac:dyDescent="0.25">
      <c r="B57" s="4"/>
      <c r="C57" s="9" t="s">
        <v>20</v>
      </c>
      <c r="D57" s="11">
        <v>3777.6</v>
      </c>
      <c r="E57" s="11"/>
      <c r="F57" s="11">
        <f>D57+(E57*5)</f>
        <v>3777.6</v>
      </c>
      <c r="G57" s="11">
        <f>D57+(10*E57)</f>
        <v>3777.6</v>
      </c>
      <c r="H57" s="5"/>
      <c r="I57" s="5"/>
      <c r="J57" s="5"/>
      <c r="K57" s="6"/>
    </row>
    <row r="58" spans="2:11" x14ac:dyDescent="0.25">
      <c r="B58" s="4"/>
      <c r="C58" s="9" t="s">
        <v>21</v>
      </c>
      <c r="D58" s="11">
        <v>6000</v>
      </c>
      <c r="E58" s="11">
        <v>400</v>
      </c>
      <c r="F58" s="11">
        <f t="shared" ref="F58:F60" si="4">D58+(E58*5)</f>
        <v>8000</v>
      </c>
      <c r="G58" s="11">
        <f t="shared" ref="G58:G60" si="5">D58+(10*E58)</f>
        <v>10000</v>
      </c>
      <c r="H58" s="5"/>
      <c r="I58" s="5"/>
      <c r="J58" s="5"/>
      <c r="K58" s="6"/>
    </row>
    <row r="59" spans="2:11" x14ac:dyDescent="0.25">
      <c r="B59" s="4"/>
      <c r="C59" s="9" t="s">
        <v>22</v>
      </c>
      <c r="D59" s="11">
        <v>21000</v>
      </c>
      <c r="E59" s="11"/>
      <c r="F59" s="11">
        <f t="shared" si="4"/>
        <v>21000</v>
      </c>
      <c r="G59" s="11">
        <f t="shared" si="5"/>
        <v>21000</v>
      </c>
      <c r="H59" s="5"/>
      <c r="I59" s="5"/>
      <c r="J59" s="5"/>
      <c r="K59" s="6"/>
    </row>
    <row r="60" spans="2:11" x14ac:dyDescent="0.25">
      <c r="B60" s="4"/>
      <c r="C60" s="9" t="s">
        <v>23</v>
      </c>
      <c r="D60" s="11">
        <v>7600</v>
      </c>
      <c r="E60" s="11"/>
      <c r="F60" s="11">
        <f t="shared" si="4"/>
        <v>7600</v>
      </c>
      <c r="G60" s="11">
        <f t="shared" si="5"/>
        <v>7600</v>
      </c>
      <c r="H60" s="5"/>
      <c r="I60" s="5"/>
      <c r="J60" s="5"/>
      <c r="K60" s="6"/>
    </row>
    <row r="61" spans="2:11" x14ac:dyDescent="0.25">
      <c r="B61" s="4"/>
      <c r="C61" s="32" t="s">
        <v>52</v>
      </c>
      <c r="D61" s="33">
        <v>30000</v>
      </c>
      <c r="E61" s="33">
        <v>1000</v>
      </c>
      <c r="F61" s="33">
        <f>D61+(E61*5)</f>
        <v>35000</v>
      </c>
      <c r="G61" s="33">
        <f>D61+(10*E61)</f>
        <v>40000</v>
      </c>
      <c r="H61" s="5"/>
      <c r="I61" s="5"/>
      <c r="J61" s="5"/>
      <c r="K61" s="6"/>
    </row>
    <row r="62" spans="2:11" x14ac:dyDescent="0.25">
      <c r="B62" s="4"/>
      <c r="C62" s="32" t="s">
        <v>53</v>
      </c>
      <c r="D62" s="33">
        <v>3600</v>
      </c>
      <c r="E62" s="33"/>
      <c r="F62" s="33">
        <f>D62+(E62*5)</f>
        <v>3600</v>
      </c>
      <c r="G62" s="33">
        <f>D62+(10*E62)</f>
        <v>3600</v>
      </c>
      <c r="H62" s="5"/>
      <c r="I62" s="5"/>
      <c r="J62" s="5"/>
      <c r="K62" s="6"/>
    </row>
    <row r="63" spans="2:11" x14ac:dyDescent="0.25">
      <c r="B63" s="4"/>
      <c r="C63" s="9" t="s">
        <v>14</v>
      </c>
      <c r="D63" s="11">
        <v>7600</v>
      </c>
      <c r="E63" s="11"/>
      <c r="F63" s="11">
        <f>D63+(E63*5)</f>
        <v>7600</v>
      </c>
      <c r="G63" s="11">
        <f>D63+(10*E63)</f>
        <v>7600</v>
      </c>
      <c r="H63" s="5"/>
      <c r="I63" s="5"/>
      <c r="J63" s="5"/>
      <c r="K63" s="6"/>
    </row>
    <row r="64" spans="2:11" x14ac:dyDescent="0.25">
      <c r="B64" s="4"/>
      <c r="C64" s="9" t="s">
        <v>16</v>
      </c>
      <c r="D64" s="11"/>
      <c r="E64" s="11">
        <f>(C45*1000)*C47/100</f>
        <v>14744.4</v>
      </c>
      <c r="F64" s="11">
        <f>D64+(E64*5)</f>
        <v>73722</v>
      </c>
      <c r="G64" s="11">
        <f>D64+(10*E64)</f>
        <v>147444</v>
      </c>
      <c r="H64" s="5"/>
      <c r="I64" s="5"/>
      <c r="J64" s="5"/>
      <c r="K64" s="6"/>
    </row>
    <row r="65" spans="2:11" x14ac:dyDescent="0.25">
      <c r="B65" s="4"/>
      <c r="C65" s="32" t="s">
        <v>54</v>
      </c>
      <c r="D65" s="33"/>
      <c r="E65" s="33">
        <f>(C49*C50*0.8*C51/100)*(-1)</f>
        <v>-2974.4</v>
      </c>
      <c r="F65" s="33">
        <f>D65+(E65*5)</f>
        <v>-14872</v>
      </c>
      <c r="G65" s="33">
        <f>D65+(10*E65)</f>
        <v>-29744</v>
      </c>
      <c r="H65" s="5"/>
      <c r="I65" s="5"/>
      <c r="J65" s="5"/>
      <c r="K65" s="6"/>
    </row>
    <row r="66" spans="2:11" x14ac:dyDescent="0.25">
      <c r="B66" s="4"/>
      <c r="C66" s="16" t="s">
        <v>18</v>
      </c>
      <c r="D66" s="17">
        <f>SUM(D57:D64)</f>
        <v>79577.600000000006</v>
      </c>
      <c r="E66" s="17">
        <f>SUM(E57:E65)</f>
        <v>13170</v>
      </c>
      <c r="F66" s="17">
        <f>SUM(F57:F64)</f>
        <v>160299.6</v>
      </c>
      <c r="G66" s="17">
        <f>SUM(G57:G65)</f>
        <v>211277.6</v>
      </c>
      <c r="H66" s="5"/>
      <c r="I66" s="5"/>
      <c r="J66" s="5"/>
      <c r="K66" s="6"/>
    </row>
    <row r="67" spans="2:11" x14ac:dyDescent="0.25">
      <c r="B67" s="4"/>
      <c r="C67" s="5"/>
      <c r="D67" s="5"/>
      <c r="E67" s="5"/>
      <c r="F67" s="5"/>
      <c r="G67" s="5"/>
      <c r="H67" s="5"/>
      <c r="I67" s="5"/>
      <c r="J67" s="5"/>
      <c r="K67" s="6"/>
    </row>
    <row r="68" spans="2:11" ht="15.75" thickBot="1" x14ac:dyDescent="0.3">
      <c r="B68" s="18"/>
      <c r="C68" s="19"/>
      <c r="D68" s="19"/>
      <c r="E68" s="19"/>
      <c r="F68" s="19"/>
      <c r="G68" s="19"/>
      <c r="H68" s="19"/>
      <c r="I68" s="19"/>
      <c r="J68" s="19"/>
      <c r="K68" s="20"/>
    </row>
    <row r="70" spans="2:11" ht="15.75" thickBot="1" x14ac:dyDescent="0.3"/>
    <row r="71" spans="2:11" ht="18.75" thickBot="1" x14ac:dyDescent="0.3">
      <c r="B71" s="1" t="s">
        <v>51</v>
      </c>
      <c r="C71" s="36" t="s">
        <v>62</v>
      </c>
      <c r="D71" s="2"/>
      <c r="E71" s="2"/>
      <c r="F71" s="2"/>
      <c r="G71" s="2"/>
      <c r="H71" s="2"/>
      <c r="I71" s="2"/>
      <c r="J71" s="2"/>
      <c r="K71" s="3"/>
    </row>
    <row r="72" spans="2:11" x14ac:dyDescent="0.25">
      <c r="B72" s="4"/>
      <c r="C72" s="5"/>
      <c r="D72" s="5"/>
      <c r="E72" s="5"/>
      <c r="F72" s="5"/>
      <c r="G72" s="5"/>
      <c r="H72" s="5"/>
      <c r="I72" s="5"/>
      <c r="J72" s="5"/>
      <c r="K72" s="6"/>
    </row>
    <row r="73" spans="2:11" x14ac:dyDescent="0.25">
      <c r="B73" s="7" t="s">
        <v>60</v>
      </c>
      <c r="C73" s="21">
        <v>245.74</v>
      </c>
      <c r="D73" s="8" t="s">
        <v>2</v>
      </c>
      <c r="E73" s="5"/>
      <c r="F73" s="5"/>
      <c r="G73" s="5"/>
      <c r="H73" s="5"/>
      <c r="I73" s="5"/>
      <c r="J73" s="5"/>
      <c r="K73" s="6"/>
    </row>
    <row r="74" spans="2:11" x14ac:dyDescent="0.25">
      <c r="B74" s="7" t="s">
        <v>67</v>
      </c>
      <c r="C74" s="21">
        <v>210.4</v>
      </c>
      <c r="D74" s="5" t="s">
        <v>2</v>
      </c>
      <c r="E74" s="5"/>
      <c r="F74" s="5"/>
      <c r="G74" s="5"/>
      <c r="H74" s="5"/>
      <c r="I74" s="5"/>
      <c r="J74" s="5"/>
      <c r="K74" s="6"/>
    </row>
    <row r="75" spans="2:11" x14ac:dyDescent="0.25">
      <c r="B75" s="7" t="s">
        <v>4</v>
      </c>
      <c r="C75" s="21">
        <v>6</v>
      </c>
      <c r="D75" s="8" t="s">
        <v>5</v>
      </c>
      <c r="E75" s="5"/>
      <c r="F75" s="5"/>
      <c r="G75" s="5"/>
      <c r="H75" s="5"/>
      <c r="I75" s="5"/>
      <c r="J75" s="5"/>
      <c r="K75" s="6"/>
    </row>
    <row r="76" spans="2:11" x14ac:dyDescent="0.25">
      <c r="B76" s="7" t="s">
        <v>6</v>
      </c>
      <c r="C76" s="21">
        <v>81.900000000000006</v>
      </c>
      <c r="D76" s="8" t="s">
        <v>7</v>
      </c>
      <c r="E76" s="5"/>
      <c r="F76" s="5"/>
      <c r="G76" s="5"/>
      <c r="H76" s="5"/>
      <c r="I76" s="5"/>
      <c r="J76" s="5"/>
      <c r="K76" s="6"/>
    </row>
    <row r="77" spans="2:11" x14ac:dyDescent="0.25">
      <c r="B77" s="35" t="s">
        <v>56</v>
      </c>
      <c r="C77" s="21">
        <v>5.2</v>
      </c>
      <c r="D77" s="34" t="s">
        <v>57</v>
      </c>
      <c r="E77" s="5"/>
      <c r="F77" s="5"/>
      <c r="G77" s="5"/>
      <c r="H77" s="5"/>
      <c r="I77" s="5"/>
      <c r="J77" s="5"/>
      <c r="K77" s="6"/>
    </row>
    <row r="78" spans="2:11" x14ac:dyDescent="0.25">
      <c r="B78" s="35" t="s">
        <v>58</v>
      </c>
      <c r="C78" s="21">
        <v>5500</v>
      </c>
      <c r="D78" s="34" t="s">
        <v>59</v>
      </c>
      <c r="E78" s="5"/>
      <c r="F78" s="5"/>
      <c r="G78" s="5"/>
      <c r="H78" s="5"/>
      <c r="I78" s="5"/>
      <c r="J78" s="5"/>
      <c r="K78" s="6"/>
    </row>
    <row r="79" spans="2:11" x14ac:dyDescent="0.25">
      <c r="B79" s="4" t="s">
        <v>55</v>
      </c>
      <c r="C79" s="21">
        <v>28</v>
      </c>
      <c r="D79" s="34" t="s">
        <v>5</v>
      </c>
      <c r="E79" s="5"/>
      <c r="F79" s="5"/>
      <c r="G79" s="5"/>
      <c r="H79" s="5"/>
      <c r="I79" s="5"/>
      <c r="J79" s="5"/>
      <c r="K79" s="6"/>
    </row>
    <row r="80" spans="2:11" x14ac:dyDescent="0.25">
      <c r="B80" s="4"/>
      <c r="C80" s="5"/>
      <c r="D80" s="5"/>
      <c r="E80" s="5"/>
      <c r="F80" s="5"/>
      <c r="G80" s="5"/>
      <c r="H80" s="5"/>
      <c r="I80" s="5"/>
      <c r="J80" s="5"/>
      <c r="K80" s="6"/>
    </row>
    <row r="81" spans="2:11" x14ac:dyDescent="0.25">
      <c r="B81" s="4"/>
      <c r="C81" s="5"/>
      <c r="D81" s="5"/>
      <c r="E81" s="5"/>
      <c r="F81" s="5"/>
      <c r="G81" s="5"/>
      <c r="H81" s="5"/>
      <c r="I81" s="5"/>
      <c r="J81" s="5"/>
      <c r="K81" s="6"/>
    </row>
    <row r="82" spans="2:11" x14ac:dyDescent="0.25">
      <c r="B82" s="4"/>
      <c r="C82" s="5"/>
      <c r="D82" s="5"/>
      <c r="E82" s="5"/>
      <c r="F82" s="5"/>
      <c r="G82" s="5"/>
      <c r="H82" s="5"/>
      <c r="I82" s="5"/>
      <c r="J82" s="5"/>
      <c r="K82" s="6"/>
    </row>
    <row r="83" spans="2:11" x14ac:dyDescent="0.25">
      <c r="B83" s="4"/>
      <c r="C83" s="5"/>
      <c r="D83" s="5"/>
      <c r="E83" s="5"/>
      <c r="F83" s="5"/>
      <c r="G83" s="5"/>
      <c r="H83" s="8" t="s">
        <v>15</v>
      </c>
      <c r="I83" s="14">
        <f>((C73*1000/0.774)*(C76/1000))/(C73*1000)*100</f>
        <v>10.58139534883721</v>
      </c>
      <c r="J83" s="8" t="s">
        <v>76</v>
      </c>
      <c r="K83" s="6"/>
    </row>
    <row r="84" spans="2:11" ht="30" x14ac:dyDescent="0.25">
      <c r="B84" s="4"/>
      <c r="C84" s="9" t="s">
        <v>8</v>
      </c>
      <c r="D84" s="10" t="s">
        <v>9</v>
      </c>
      <c r="E84" s="10" t="s">
        <v>50</v>
      </c>
      <c r="F84" s="10" t="s">
        <v>10</v>
      </c>
      <c r="G84" s="10" t="s">
        <v>11</v>
      </c>
      <c r="H84" s="8" t="s">
        <v>17</v>
      </c>
      <c r="I84" s="14">
        <f>(G94/10)/(C74*1000)*100</f>
        <v>8.4105323193916366</v>
      </c>
      <c r="J84" s="8" t="s">
        <v>76</v>
      </c>
      <c r="K84" s="6"/>
    </row>
    <row r="85" spans="2:11" x14ac:dyDescent="0.25">
      <c r="B85" s="4"/>
      <c r="C85" s="9" t="s">
        <v>20</v>
      </c>
      <c r="D85" s="11">
        <v>3777.6</v>
      </c>
      <c r="E85" s="11"/>
      <c r="F85" s="11">
        <f>D85+(E85*5)</f>
        <v>3777.6</v>
      </c>
      <c r="G85" s="11">
        <f>D85+(10*E85)</f>
        <v>3777.6</v>
      </c>
      <c r="H85" s="5"/>
      <c r="I85" s="5"/>
      <c r="J85" s="5"/>
      <c r="K85" s="6"/>
    </row>
    <row r="86" spans="2:11" x14ac:dyDescent="0.25">
      <c r="B86" s="4"/>
      <c r="C86" s="9" t="s">
        <v>21</v>
      </c>
      <c r="D86" s="11">
        <v>6000</v>
      </c>
      <c r="E86" s="11">
        <v>400</v>
      </c>
      <c r="F86" s="11">
        <f t="shared" ref="F86:F88" si="6">D86+(E86*5)</f>
        <v>8000</v>
      </c>
      <c r="G86" s="11">
        <f t="shared" ref="G86:G88" si="7">D86+(10*E86)</f>
        <v>10000</v>
      </c>
      <c r="H86" s="5"/>
      <c r="I86" s="5"/>
      <c r="J86" s="5"/>
      <c r="K86" s="6"/>
    </row>
    <row r="87" spans="2:11" x14ac:dyDescent="0.25">
      <c r="B87" s="4"/>
      <c r="C87" s="9" t="s">
        <v>22</v>
      </c>
      <c r="D87" s="11">
        <v>21000</v>
      </c>
      <c r="E87" s="11"/>
      <c r="F87" s="11">
        <f t="shared" si="6"/>
        <v>21000</v>
      </c>
      <c r="G87" s="11">
        <f t="shared" si="7"/>
        <v>21000</v>
      </c>
      <c r="H87" s="5"/>
      <c r="I87" s="5"/>
      <c r="J87" s="5"/>
      <c r="K87" s="6"/>
    </row>
    <row r="88" spans="2:11" x14ac:dyDescent="0.25">
      <c r="B88" s="4"/>
      <c r="C88" s="9" t="s">
        <v>23</v>
      </c>
      <c r="D88" s="11">
        <v>7600</v>
      </c>
      <c r="E88" s="11"/>
      <c r="F88" s="11">
        <f t="shared" si="6"/>
        <v>7600</v>
      </c>
      <c r="G88" s="11">
        <f t="shared" si="7"/>
        <v>7600</v>
      </c>
      <c r="H88" s="5"/>
      <c r="I88" s="5"/>
      <c r="J88" s="5"/>
      <c r="K88" s="6"/>
    </row>
    <row r="89" spans="2:11" x14ac:dyDescent="0.25">
      <c r="B89" s="4"/>
      <c r="C89" s="32" t="s">
        <v>52</v>
      </c>
      <c r="D89" s="33">
        <v>30000</v>
      </c>
      <c r="E89" s="33">
        <v>1000</v>
      </c>
      <c r="F89" s="33">
        <f>D89+(E89*5)</f>
        <v>35000</v>
      </c>
      <c r="G89" s="33">
        <f>D89+(10*E89)</f>
        <v>40000</v>
      </c>
      <c r="H89" s="5"/>
      <c r="I89" s="5"/>
      <c r="J89" s="5"/>
      <c r="K89" s="6"/>
    </row>
    <row r="90" spans="2:11" x14ac:dyDescent="0.25">
      <c r="B90" s="4"/>
      <c r="C90" s="32" t="s">
        <v>53</v>
      </c>
      <c r="D90" s="33">
        <v>3600</v>
      </c>
      <c r="E90" s="33"/>
      <c r="F90" s="33">
        <f>D90+(E90*5)</f>
        <v>3600</v>
      </c>
      <c r="G90" s="33">
        <f>D90+(10*E90)</f>
        <v>3600</v>
      </c>
      <c r="H90" s="5"/>
      <c r="I90" s="5"/>
      <c r="J90" s="5"/>
      <c r="K90" s="6"/>
    </row>
    <row r="91" spans="2:11" x14ac:dyDescent="0.25">
      <c r="B91" s="4"/>
      <c r="C91" s="9" t="s">
        <v>14</v>
      </c>
      <c r="D91" s="11">
        <v>7600</v>
      </c>
      <c r="E91" s="11"/>
      <c r="F91" s="11">
        <f>D91+(E91*5)</f>
        <v>7600</v>
      </c>
      <c r="G91" s="11">
        <f>D91+(10*E91)</f>
        <v>7600</v>
      </c>
      <c r="H91" s="5"/>
      <c r="I91" s="5"/>
      <c r="J91" s="5"/>
      <c r="K91" s="6"/>
    </row>
    <row r="92" spans="2:11" x14ac:dyDescent="0.25">
      <c r="B92" s="4"/>
      <c r="C92" s="9" t="s">
        <v>16</v>
      </c>
      <c r="D92" s="11"/>
      <c r="E92" s="11">
        <f>(C73*1000)*C75/100</f>
        <v>14744.4</v>
      </c>
      <c r="F92" s="11">
        <f>D92+(E92*5)</f>
        <v>73722</v>
      </c>
      <c r="G92" s="11">
        <f>D92+(10*E92)</f>
        <v>147444</v>
      </c>
      <c r="H92" s="5"/>
      <c r="I92" s="5"/>
      <c r="J92" s="5"/>
      <c r="K92" s="6"/>
    </row>
    <row r="93" spans="2:11" x14ac:dyDescent="0.25">
      <c r="B93" s="4"/>
      <c r="C93" s="32" t="s">
        <v>54</v>
      </c>
      <c r="D93" s="33"/>
      <c r="E93" s="33">
        <f>(C77*C78*0.8*C79/100)*(-1)</f>
        <v>-6406.4</v>
      </c>
      <c r="F93" s="33">
        <f>D93+(E93*5)</f>
        <v>-32032</v>
      </c>
      <c r="G93" s="33">
        <f>D93+(10*E93)</f>
        <v>-64064</v>
      </c>
      <c r="H93" s="5"/>
      <c r="I93" s="5"/>
      <c r="J93" s="5"/>
      <c r="K93" s="6"/>
    </row>
    <row r="94" spans="2:11" x14ac:dyDescent="0.25">
      <c r="B94" s="4"/>
      <c r="C94" s="16" t="s">
        <v>18</v>
      </c>
      <c r="D94" s="17">
        <f>SUM(D85:D93)</f>
        <v>79577.600000000006</v>
      </c>
      <c r="E94" s="17">
        <f>SUM(E85:E93)</f>
        <v>9738</v>
      </c>
      <c r="F94" s="17">
        <f>SUM(F85:F93)</f>
        <v>128267.6</v>
      </c>
      <c r="G94" s="17">
        <f>SUM(G85:G93)</f>
        <v>176957.6</v>
      </c>
      <c r="H94" s="5"/>
      <c r="I94" s="5"/>
      <c r="J94" s="5"/>
      <c r="K94" s="6"/>
    </row>
    <row r="95" spans="2:11" x14ac:dyDescent="0.25">
      <c r="B95" s="4"/>
      <c r="C95" s="5"/>
      <c r="D95" s="5"/>
      <c r="E95" s="5"/>
      <c r="F95" s="5"/>
      <c r="G95" s="5"/>
      <c r="H95" s="5"/>
      <c r="I95" s="5"/>
      <c r="J95" s="5"/>
      <c r="K95" s="6"/>
    </row>
    <row r="96" spans="2:11" ht="15.75" thickBot="1" x14ac:dyDescent="0.3">
      <c r="B96" s="18"/>
      <c r="C96" s="19"/>
      <c r="D96" s="19"/>
      <c r="E96" s="19"/>
      <c r="F96" s="19"/>
      <c r="G96" s="19"/>
      <c r="H96" s="19"/>
      <c r="I96" s="19"/>
      <c r="J96" s="19"/>
      <c r="K96" s="20"/>
    </row>
    <row r="98" spans="2:11" ht="15.75" thickBot="1" x14ac:dyDescent="0.3"/>
    <row r="99" spans="2:11" ht="18.75" thickBot="1" x14ac:dyDescent="0.3">
      <c r="B99" s="1" t="s">
        <v>63</v>
      </c>
      <c r="C99" s="36"/>
      <c r="D99" s="2"/>
      <c r="E99" s="2"/>
      <c r="F99" s="2"/>
      <c r="G99" s="2"/>
      <c r="H99" s="2"/>
      <c r="I99" s="2"/>
      <c r="J99" s="2"/>
      <c r="K99" s="3"/>
    </row>
    <row r="100" spans="2:11" x14ac:dyDescent="0.25">
      <c r="B100" s="4"/>
      <c r="C100" s="5"/>
      <c r="D100" s="5"/>
      <c r="E100" s="5"/>
      <c r="F100" s="5"/>
      <c r="G100" s="5"/>
      <c r="H100" s="5"/>
      <c r="I100" s="5"/>
      <c r="J100" s="5"/>
      <c r="K100" s="6"/>
    </row>
    <row r="101" spans="2:11" x14ac:dyDescent="0.25">
      <c r="B101" s="7" t="s">
        <v>60</v>
      </c>
      <c r="C101" s="21">
        <v>371.06</v>
      </c>
      <c r="D101" s="8" t="s">
        <v>2</v>
      </c>
      <c r="E101" s="5"/>
      <c r="F101" s="5"/>
      <c r="G101" s="5"/>
      <c r="H101" s="5"/>
      <c r="I101" s="5"/>
      <c r="J101" s="5"/>
      <c r="K101" s="6"/>
    </row>
    <row r="102" spans="2:11" x14ac:dyDescent="0.25">
      <c r="B102" s="7" t="s">
        <v>67</v>
      </c>
      <c r="C102" s="21">
        <v>210.4</v>
      </c>
      <c r="D102" s="5" t="s">
        <v>2</v>
      </c>
      <c r="E102" s="5"/>
      <c r="F102" s="5"/>
      <c r="G102" s="5"/>
      <c r="H102" s="5"/>
      <c r="I102" s="5"/>
      <c r="J102" s="5"/>
      <c r="K102" s="6"/>
    </row>
    <row r="103" spans="2:11" x14ac:dyDescent="0.25">
      <c r="B103" s="7" t="s">
        <v>4</v>
      </c>
      <c r="C103" s="21">
        <v>6</v>
      </c>
      <c r="D103" s="8" t="s">
        <v>5</v>
      </c>
      <c r="E103" s="5"/>
      <c r="F103" s="5"/>
      <c r="G103" s="5"/>
      <c r="H103" s="5"/>
      <c r="I103" s="5"/>
      <c r="J103" s="5"/>
      <c r="K103" s="6"/>
    </row>
    <row r="104" spans="2:11" x14ac:dyDescent="0.25">
      <c r="B104" s="7" t="s">
        <v>6</v>
      </c>
      <c r="C104" s="21">
        <v>81.900000000000006</v>
      </c>
      <c r="D104" s="8" t="s">
        <v>7</v>
      </c>
      <c r="E104" s="5"/>
      <c r="F104" s="5"/>
      <c r="G104" s="5"/>
      <c r="H104" s="5"/>
      <c r="I104" s="5"/>
      <c r="J104" s="5"/>
      <c r="K104" s="6"/>
    </row>
    <row r="105" spans="2:11" x14ac:dyDescent="0.25">
      <c r="B105" s="35" t="s">
        <v>56</v>
      </c>
      <c r="C105" s="21">
        <v>35</v>
      </c>
      <c r="D105" s="34" t="s">
        <v>57</v>
      </c>
      <c r="E105" s="5"/>
      <c r="F105" s="5"/>
      <c r="G105" s="5"/>
      <c r="H105" s="5"/>
      <c r="I105" s="5"/>
      <c r="J105" s="5"/>
      <c r="K105" s="6"/>
    </row>
    <row r="106" spans="2:11" x14ac:dyDescent="0.25">
      <c r="B106" s="35" t="s">
        <v>58</v>
      </c>
      <c r="C106" s="21">
        <v>1500</v>
      </c>
      <c r="D106" s="34" t="s">
        <v>59</v>
      </c>
      <c r="E106" s="5"/>
      <c r="F106" s="5"/>
      <c r="G106" s="5"/>
      <c r="H106" s="5"/>
      <c r="I106" s="5"/>
      <c r="J106" s="5"/>
      <c r="K106" s="6"/>
    </row>
    <row r="107" spans="2:11" x14ac:dyDescent="0.25">
      <c r="B107" s="4" t="s">
        <v>55</v>
      </c>
      <c r="C107" s="21">
        <v>41.713999999999999</v>
      </c>
      <c r="D107" s="34" t="s">
        <v>5</v>
      </c>
      <c r="E107" s="5"/>
      <c r="F107" s="5"/>
      <c r="G107" s="5"/>
      <c r="H107" s="5"/>
      <c r="I107" s="5"/>
      <c r="J107" s="5"/>
      <c r="K107" s="6"/>
    </row>
    <row r="108" spans="2:11" x14ac:dyDescent="0.25">
      <c r="B108" s="4"/>
      <c r="C108" s="5"/>
      <c r="D108" s="5"/>
      <c r="E108" s="5"/>
      <c r="F108" s="5"/>
      <c r="G108" s="5"/>
      <c r="H108" s="5"/>
      <c r="I108" s="5"/>
      <c r="J108" s="5"/>
      <c r="K108" s="6"/>
    </row>
    <row r="109" spans="2:11" x14ac:dyDescent="0.25">
      <c r="B109" s="4"/>
      <c r="C109" s="5"/>
      <c r="D109" s="5"/>
      <c r="E109" s="5"/>
      <c r="F109" s="5"/>
      <c r="G109" s="5"/>
      <c r="H109" s="5"/>
      <c r="I109" s="5"/>
      <c r="J109" s="5"/>
      <c r="K109" s="6"/>
    </row>
    <row r="110" spans="2:11" x14ac:dyDescent="0.25">
      <c r="B110" s="4"/>
      <c r="C110" s="5"/>
      <c r="D110" s="5"/>
      <c r="E110" s="5"/>
      <c r="F110" s="5"/>
      <c r="G110" s="5"/>
      <c r="H110" s="5"/>
      <c r="I110" s="5"/>
      <c r="J110" s="5"/>
      <c r="K110" s="6"/>
    </row>
    <row r="111" spans="2:11" x14ac:dyDescent="0.25">
      <c r="B111" s="4"/>
      <c r="C111" s="5"/>
      <c r="D111" s="5"/>
      <c r="E111" s="5"/>
      <c r="F111" s="5"/>
      <c r="G111" s="5"/>
      <c r="H111" s="8" t="s">
        <v>15</v>
      </c>
      <c r="I111" s="14">
        <f>((C101*1000/0.774)*(C104/1000))/(C101*1000)*100</f>
        <v>10.581395348837209</v>
      </c>
      <c r="J111" s="8" t="s">
        <v>76</v>
      </c>
      <c r="K111" s="6"/>
    </row>
    <row r="112" spans="2:11" ht="30" x14ac:dyDescent="0.25">
      <c r="B112" s="4"/>
      <c r="C112" s="9" t="s">
        <v>8</v>
      </c>
      <c r="D112" s="10" t="s">
        <v>9</v>
      </c>
      <c r="E112" s="10" t="s">
        <v>50</v>
      </c>
      <c r="F112" s="10" t="s">
        <v>10</v>
      </c>
      <c r="G112" s="10" t="s">
        <v>11</v>
      </c>
      <c r="H112" s="8" t="s">
        <v>17</v>
      </c>
      <c r="I112" s="14">
        <f>(G133/10)/(C102*1000)*100</f>
        <v>10.038740494296578</v>
      </c>
      <c r="J112" s="8" t="s">
        <v>76</v>
      </c>
      <c r="K112" s="6"/>
    </row>
    <row r="113" spans="2:11" x14ac:dyDescent="0.25">
      <c r="B113" s="4"/>
      <c r="C113" s="9" t="s">
        <v>20</v>
      </c>
      <c r="D113" s="11">
        <v>3777.6</v>
      </c>
      <c r="E113" s="11"/>
      <c r="F113" s="11">
        <f>D113+(E113*5)</f>
        <v>3777.6</v>
      </c>
      <c r="G113" s="11">
        <f>D113+(10*E113)</f>
        <v>3777.6</v>
      </c>
      <c r="H113" s="5"/>
      <c r="I113" s="5"/>
      <c r="J113" s="5"/>
      <c r="K113" s="6"/>
    </row>
    <row r="114" spans="2:11" x14ac:dyDescent="0.25">
      <c r="B114" s="4"/>
      <c r="C114" s="32" t="s">
        <v>23</v>
      </c>
      <c r="D114" s="11">
        <v>7600</v>
      </c>
      <c r="E114" s="11"/>
      <c r="F114" s="11">
        <f t="shared" ref="F114:F116" si="8">D114+(E114*5)</f>
        <v>7600</v>
      </c>
      <c r="G114" s="11">
        <f t="shared" ref="G114:G116" si="9">D114+(10*E114)</f>
        <v>7600</v>
      </c>
      <c r="H114" s="5"/>
      <c r="I114" s="5"/>
      <c r="J114" s="5"/>
      <c r="K114" s="6"/>
    </row>
    <row r="115" spans="2:11" x14ac:dyDescent="0.25">
      <c r="B115" s="4"/>
      <c r="C115" s="9" t="s">
        <v>22</v>
      </c>
      <c r="D115" s="11">
        <v>21000</v>
      </c>
      <c r="E115" s="11"/>
      <c r="F115" s="11">
        <f t="shared" si="8"/>
        <v>21000</v>
      </c>
      <c r="G115" s="11">
        <f t="shared" si="9"/>
        <v>21000</v>
      </c>
      <c r="H115" s="5"/>
      <c r="I115" s="5"/>
      <c r="J115" s="5"/>
      <c r="K115" s="6"/>
    </row>
    <row r="116" spans="2:11" x14ac:dyDescent="0.25">
      <c r="B116" s="4"/>
      <c r="C116" s="9" t="s">
        <v>64</v>
      </c>
      <c r="D116" s="11">
        <v>55500</v>
      </c>
      <c r="E116" s="11">
        <v>1100</v>
      </c>
      <c r="F116" s="11">
        <f t="shared" si="8"/>
        <v>61000</v>
      </c>
      <c r="G116" s="11">
        <f t="shared" si="9"/>
        <v>66500</v>
      </c>
      <c r="H116" s="5"/>
      <c r="I116" s="5"/>
      <c r="J116" s="5"/>
      <c r="K116" s="6"/>
    </row>
    <row r="117" spans="2:11" x14ac:dyDescent="0.25">
      <c r="B117" s="4"/>
      <c r="C117" s="32" t="s">
        <v>65</v>
      </c>
      <c r="D117" s="33">
        <v>65500</v>
      </c>
      <c r="E117" s="33">
        <v>1400</v>
      </c>
      <c r="F117" s="33">
        <f>D117+(E117*5)</f>
        <v>72500</v>
      </c>
      <c r="G117" s="33">
        <f>D117+(10*E117)</f>
        <v>79500</v>
      </c>
      <c r="H117" s="5"/>
      <c r="I117" s="5"/>
      <c r="J117" s="5"/>
      <c r="K117" s="6"/>
    </row>
    <row r="118" spans="2:11" x14ac:dyDescent="0.25">
      <c r="B118" s="4"/>
      <c r="C118" s="32" t="s">
        <v>66</v>
      </c>
      <c r="D118" s="33">
        <v>21600</v>
      </c>
      <c r="E118" s="33"/>
      <c r="F118" s="33">
        <f>D118+(E118*5)</f>
        <v>21600</v>
      </c>
      <c r="G118" s="33">
        <f>D118+(10*E118)</f>
        <v>21600</v>
      </c>
      <c r="H118" s="5"/>
      <c r="I118" s="5"/>
      <c r="J118" s="5"/>
      <c r="K118" s="6"/>
    </row>
    <row r="119" spans="2:11" x14ac:dyDescent="0.25">
      <c r="B119" s="4"/>
      <c r="C119" s="9" t="s">
        <v>14</v>
      </c>
      <c r="D119" s="11">
        <v>7600</v>
      </c>
      <c r="E119" s="11"/>
      <c r="F119" s="11">
        <f>D119+(E119*5)</f>
        <v>7600</v>
      </c>
      <c r="G119" s="11">
        <f>D119+(10*E119)</f>
        <v>7600</v>
      </c>
      <c r="H119" s="5"/>
      <c r="I119" s="15"/>
      <c r="J119" s="5"/>
      <c r="K119" s="6"/>
    </row>
    <row r="120" spans="2:11" x14ac:dyDescent="0.25">
      <c r="B120" s="4"/>
      <c r="C120" s="9" t="s">
        <v>16</v>
      </c>
      <c r="D120" s="11"/>
      <c r="E120" s="11">
        <f>(C101*1000)*C103/100</f>
        <v>22263.599999999999</v>
      </c>
      <c r="F120" s="11">
        <f>D120+(E120*5)</f>
        <v>111318</v>
      </c>
      <c r="G120" s="11">
        <f>D120+(10*E120)</f>
        <v>222636</v>
      </c>
      <c r="H120" s="5"/>
      <c r="I120" s="15"/>
      <c r="J120" s="5"/>
      <c r="K120" s="6"/>
    </row>
    <row r="121" spans="2:11" x14ac:dyDescent="0.25">
      <c r="B121" s="4"/>
      <c r="C121" s="16" t="s">
        <v>18</v>
      </c>
      <c r="D121" s="17">
        <f>SUM(D113:D120)</f>
        <v>182577.6</v>
      </c>
      <c r="E121" s="17">
        <f>SUM(E113:E120)</f>
        <v>24763.599999999999</v>
      </c>
      <c r="F121" s="17">
        <f>SUM(F113:F120)</f>
        <v>306395.59999999998</v>
      </c>
      <c r="G121" s="17">
        <f>SUM(G113:G120)</f>
        <v>430213.6</v>
      </c>
      <c r="H121" s="5"/>
      <c r="I121" s="5"/>
      <c r="J121" s="5"/>
      <c r="K121" s="6"/>
    </row>
    <row r="122" spans="2:11" x14ac:dyDescent="0.25">
      <c r="B122" s="4"/>
      <c r="C122" s="5"/>
      <c r="D122" s="5"/>
      <c r="E122" s="5"/>
      <c r="F122" s="5"/>
      <c r="G122" s="5"/>
      <c r="H122" s="5"/>
      <c r="I122" s="5"/>
      <c r="J122" s="5"/>
      <c r="K122" s="6"/>
    </row>
    <row r="123" spans="2:11" ht="30" x14ac:dyDescent="0.25">
      <c r="B123" s="4"/>
      <c r="C123" s="9" t="s">
        <v>8</v>
      </c>
      <c r="D123" s="10" t="s">
        <v>9</v>
      </c>
      <c r="E123" s="10" t="s">
        <v>50</v>
      </c>
      <c r="F123" s="10" t="s">
        <v>10</v>
      </c>
      <c r="G123" s="10" t="s">
        <v>11</v>
      </c>
      <c r="H123" s="5"/>
      <c r="I123" s="5"/>
      <c r="J123" s="5"/>
      <c r="K123" s="6"/>
    </row>
    <row r="124" spans="2:11" x14ac:dyDescent="0.25">
      <c r="B124" s="4"/>
      <c r="C124" s="9" t="s">
        <v>20</v>
      </c>
      <c r="D124" s="11">
        <v>3777.6</v>
      </c>
      <c r="E124" s="11"/>
      <c r="F124" s="11">
        <f>D124+(E124*5)</f>
        <v>3777.6</v>
      </c>
      <c r="G124" s="11">
        <f>D124+(10*E124)</f>
        <v>3777.6</v>
      </c>
      <c r="H124" s="5"/>
      <c r="I124" s="5"/>
      <c r="J124" s="5"/>
      <c r="K124" s="6"/>
    </row>
    <row r="125" spans="2:11" x14ac:dyDescent="0.25">
      <c r="B125" s="4"/>
      <c r="C125" s="32" t="s">
        <v>23</v>
      </c>
      <c r="D125" s="11">
        <v>7600</v>
      </c>
      <c r="E125" s="11"/>
      <c r="F125" s="11">
        <f t="shared" ref="F125:F127" si="10">D125+(E125*5)</f>
        <v>7600</v>
      </c>
      <c r="G125" s="11">
        <f t="shared" ref="G125:G127" si="11">D125+(10*E125)</f>
        <v>7600</v>
      </c>
      <c r="H125" s="5"/>
      <c r="I125" s="5"/>
      <c r="J125" s="5"/>
      <c r="K125" s="6"/>
    </row>
    <row r="126" spans="2:11" x14ac:dyDescent="0.25">
      <c r="B126" s="4"/>
      <c r="C126" s="9" t="s">
        <v>22</v>
      </c>
      <c r="D126" s="11">
        <v>21000</v>
      </c>
      <c r="E126" s="11"/>
      <c r="F126" s="11">
        <f t="shared" si="10"/>
        <v>21000</v>
      </c>
      <c r="G126" s="11">
        <f t="shared" si="11"/>
        <v>21000</v>
      </c>
      <c r="H126" s="5"/>
      <c r="I126" s="5"/>
      <c r="J126" s="5"/>
      <c r="K126" s="6"/>
    </row>
    <row r="127" spans="2:11" x14ac:dyDescent="0.25">
      <c r="B127" s="4"/>
      <c r="C127" s="9" t="s">
        <v>64</v>
      </c>
      <c r="D127" s="11">
        <v>55500</v>
      </c>
      <c r="E127" s="11">
        <v>1100</v>
      </c>
      <c r="F127" s="11">
        <f t="shared" si="10"/>
        <v>61000</v>
      </c>
      <c r="G127" s="11">
        <f t="shared" si="11"/>
        <v>66500</v>
      </c>
      <c r="H127" s="5"/>
      <c r="I127" s="5"/>
      <c r="J127" s="5"/>
      <c r="K127" s="6"/>
    </row>
    <row r="128" spans="2:11" x14ac:dyDescent="0.25">
      <c r="B128" s="4"/>
      <c r="C128" s="32" t="s">
        <v>65</v>
      </c>
      <c r="D128" s="33">
        <v>65500</v>
      </c>
      <c r="E128" s="33">
        <v>1400</v>
      </c>
      <c r="F128" s="33">
        <f>D128+(E128*5)</f>
        <v>72500</v>
      </c>
      <c r="G128" s="33">
        <f>D128+(10*E128)</f>
        <v>79500</v>
      </c>
      <c r="H128" s="5"/>
      <c r="I128" s="5"/>
      <c r="J128" s="5"/>
      <c r="K128" s="6"/>
    </row>
    <row r="129" spans="2:11" x14ac:dyDescent="0.25">
      <c r="B129" s="4"/>
      <c r="C129" s="32" t="s">
        <v>66</v>
      </c>
      <c r="D129" s="33">
        <v>21600</v>
      </c>
      <c r="E129" s="33"/>
      <c r="F129" s="33">
        <f>D129+(E129*5)</f>
        <v>21600</v>
      </c>
      <c r="G129" s="33">
        <f>D129+(10*E129)</f>
        <v>21600</v>
      </c>
      <c r="H129" s="5"/>
      <c r="I129" s="5"/>
      <c r="J129" s="5"/>
      <c r="K129" s="6"/>
    </row>
    <row r="130" spans="2:11" x14ac:dyDescent="0.25">
      <c r="B130" s="4"/>
      <c r="C130" s="9" t="s">
        <v>14</v>
      </c>
      <c r="D130" s="11">
        <v>7600</v>
      </c>
      <c r="E130" s="11"/>
      <c r="F130" s="11">
        <f>D130+(E130*5)</f>
        <v>7600</v>
      </c>
      <c r="G130" s="11">
        <f>D130+(10*E130)</f>
        <v>7600</v>
      </c>
      <c r="H130" s="5"/>
      <c r="I130" s="5"/>
      <c r="J130" s="5"/>
      <c r="K130" s="6"/>
    </row>
    <row r="131" spans="2:11" x14ac:dyDescent="0.25">
      <c r="B131" s="4"/>
      <c r="C131" s="9" t="s">
        <v>16</v>
      </c>
      <c r="D131" s="11"/>
      <c r="E131" s="11">
        <f>(C101*1000)*C103/100</f>
        <v>22263.599999999999</v>
      </c>
      <c r="F131" s="11">
        <f>D131+(E131*5)</f>
        <v>111318</v>
      </c>
      <c r="G131" s="11">
        <f>D131+(10*E131)</f>
        <v>222636</v>
      </c>
      <c r="H131" s="5"/>
      <c r="I131" s="5"/>
      <c r="J131" s="5"/>
      <c r="K131" s="6"/>
    </row>
    <row r="132" spans="2:11" x14ac:dyDescent="0.25">
      <c r="B132" s="4"/>
      <c r="C132" s="32" t="s">
        <v>54</v>
      </c>
      <c r="D132" s="33"/>
      <c r="E132" s="33">
        <f>(C105*C106*C107/100)*(-1)</f>
        <v>-21899.85</v>
      </c>
      <c r="F132" s="33">
        <f>D132+(E132*5)</f>
        <v>-109499.25</v>
      </c>
      <c r="G132" s="33">
        <f>D132+(10*E132)</f>
        <v>-218998.5</v>
      </c>
      <c r="H132" s="5"/>
      <c r="I132" s="5"/>
      <c r="J132" s="5"/>
      <c r="K132" s="6"/>
    </row>
    <row r="133" spans="2:11" x14ac:dyDescent="0.25">
      <c r="B133" s="4"/>
      <c r="C133" s="16" t="s">
        <v>18</v>
      </c>
      <c r="D133" s="17">
        <f>SUM(D124:D132)</f>
        <v>182577.6</v>
      </c>
      <c r="E133" s="17">
        <f>SUM(E124:E132)</f>
        <v>2863.75</v>
      </c>
      <c r="F133" s="17">
        <f>SUM(F124:F132)</f>
        <v>196896.34999999998</v>
      </c>
      <c r="G133" s="17">
        <f>SUM(G124:G132)</f>
        <v>211215.09999999998</v>
      </c>
      <c r="H133" s="5"/>
      <c r="I133" s="5"/>
      <c r="J133" s="5"/>
      <c r="K133" s="6"/>
    </row>
    <row r="134" spans="2:11" ht="15.75" thickBot="1" x14ac:dyDescent="0.3">
      <c r="B134" s="18"/>
      <c r="C134" s="19"/>
      <c r="D134" s="19"/>
      <c r="E134" s="19"/>
      <c r="F134" s="19"/>
      <c r="G134" s="19"/>
      <c r="H134" s="19"/>
      <c r="I134" s="19"/>
      <c r="J134" s="19"/>
      <c r="K134" s="20"/>
    </row>
    <row r="137" spans="2:11" ht="15.75" thickBot="1" x14ac:dyDescent="0.3"/>
    <row r="138" spans="2:11" ht="18.75" thickBot="1" x14ac:dyDescent="0.3">
      <c r="B138" s="1" t="s">
        <v>71</v>
      </c>
      <c r="C138" s="36"/>
      <c r="D138" s="2"/>
      <c r="E138" s="2"/>
      <c r="F138" s="2"/>
      <c r="G138" s="2"/>
      <c r="H138" s="2"/>
      <c r="I138" s="2"/>
      <c r="J138" s="2"/>
      <c r="K138" s="3"/>
    </row>
    <row r="139" spans="2:11" x14ac:dyDescent="0.25">
      <c r="B139" s="4"/>
      <c r="C139" s="5"/>
      <c r="D139" s="5"/>
      <c r="E139" s="5"/>
      <c r="F139" s="5"/>
      <c r="G139" s="5"/>
      <c r="H139" s="5"/>
      <c r="I139" s="5"/>
      <c r="J139" s="5"/>
      <c r="K139" s="6"/>
    </row>
    <row r="140" spans="2:11" x14ac:dyDescent="0.25">
      <c r="B140" s="7" t="s">
        <v>60</v>
      </c>
      <c r="C140" s="21">
        <v>259.29000000000002</v>
      </c>
      <c r="D140" s="8" t="s">
        <v>2</v>
      </c>
      <c r="E140" s="5"/>
      <c r="F140" s="5"/>
      <c r="G140" s="5"/>
      <c r="H140" s="5"/>
      <c r="I140" s="5"/>
      <c r="J140" s="5"/>
      <c r="K140" s="6"/>
    </row>
    <row r="141" spans="2:11" x14ac:dyDescent="0.25">
      <c r="B141" s="7" t="s">
        <v>67</v>
      </c>
      <c r="C141" s="21">
        <v>210.4</v>
      </c>
      <c r="D141" s="5" t="s">
        <v>2</v>
      </c>
      <c r="E141" s="5"/>
      <c r="F141" s="5"/>
      <c r="G141" s="5"/>
      <c r="H141" s="5"/>
      <c r="I141" s="5"/>
      <c r="J141" s="5"/>
      <c r="K141" s="6"/>
    </row>
    <row r="142" spans="2:11" x14ac:dyDescent="0.25">
      <c r="B142" s="7" t="s">
        <v>4</v>
      </c>
      <c r="C142" s="21">
        <v>6</v>
      </c>
      <c r="D142" s="8" t="s">
        <v>5</v>
      </c>
      <c r="E142" s="5"/>
      <c r="F142" s="5"/>
      <c r="G142" s="5"/>
      <c r="H142" s="5"/>
      <c r="I142" s="5"/>
      <c r="J142" s="5"/>
      <c r="K142" s="6"/>
    </row>
    <row r="143" spans="2:11" x14ac:dyDescent="0.25">
      <c r="B143" s="7" t="s">
        <v>6</v>
      </c>
      <c r="C143" s="21">
        <v>81.900000000000006</v>
      </c>
      <c r="D143" s="8" t="s">
        <v>7</v>
      </c>
      <c r="E143" s="5"/>
      <c r="F143" s="5"/>
      <c r="G143" s="5"/>
      <c r="H143" s="5"/>
      <c r="I143" s="5"/>
      <c r="J143" s="5"/>
      <c r="K143" s="6"/>
    </row>
    <row r="144" spans="2:11" x14ac:dyDescent="0.25">
      <c r="B144" s="35" t="s">
        <v>56</v>
      </c>
      <c r="C144" s="21">
        <v>6</v>
      </c>
      <c r="D144" s="34" t="s">
        <v>57</v>
      </c>
      <c r="E144" s="5"/>
      <c r="F144" s="5"/>
      <c r="G144" s="5"/>
      <c r="H144" s="5"/>
      <c r="I144" s="5"/>
      <c r="J144" s="5"/>
      <c r="K144" s="6"/>
    </row>
    <row r="145" spans="2:11" x14ac:dyDescent="0.25">
      <c r="B145" s="35" t="s">
        <v>58</v>
      </c>
      <c r="C145" s="21">
        <v>5700</v>
      </c>
      <c r="D145" s="34" t="s">
        <v>59</v>
      </c>
      <c r="E145" s="5"/>
      <c r="F145" s="5"/>
      <c r="G145" s="5"/>
      <c r="H145" s="5"/>
      <c r="I145" s="5"/>
      <c r="J145" s="5"/>
      <c r="K145" s="6"/>
    </row>
    <row r="146" spans="2:11" x14ac:dyDescent="0.25">
      <c r="B146" s="4" t="s">
        <v>55</v>
      </c>
      <c r="C146" s="21">
        <v>13</v>
      </c>
      <c r="D146" s="34" t="s">
        <v>5</v>
      </c>
      <c r="E146" s="5"/>
      <c r="F146" s="5"/>
      <c r="G146" s="5"/>
      <c r="H146" s="5"/>
      <c r="I146" s="5"/>
      <c r="J146" s="5"/>
      <c r="K146" s="6"/>
    </row>
    <row r="147" spans="2:11" x14ac:dyDescent="0.25">
      <c r="B147" s="4"/>
      <c r="C147" s="5"/>
      <c r="D147" s="5"/>
      <c r="E147" s="5"/>
      <c r="F147" s="5"/>
      <c r="G147" s="5"/>
      <c r="H147" s="5"/>
      <c r="I147" s="5"/>
      <c r="J147" s="5"/>
      <c r="K147" s="6"/>
    </row>
    <row r="148" spans="2:11" x14ac:dyDescent="0.25">
      <c r="B148" s="4"/>
      <c r="C148" s="5"/>
      <c r="D148" s="5"/>
      <c r="E148" s="5"/>
      <c r="F148" s="5"/>
      <c r="G148" s="5"/>
      <c r="H148" s="5"/>
      <c r="I148" s="5"/>
      <c r="J148" s="5"/>
      <c r="K148" s="6"/>
    </row>
    <row r="149" spans="2:11" x14ac:dyDescent="0.25">
      <c r="B149" s="4"/>
      <c r="C149" s="5"/>
      <c r="D149" s="5"/>
      <c r="E149" s="5"/>
      <c r="F149" s="5"/>
      <c r="G149" s="5"/>
      <c r="H149" s="5"/>
      <c r="I149" s="5"/>
      <c r="J149" s="5"/>
      <c r="K149" s="6"/>
    </row>
    <row r="150" spans="2:11" x14ac:dyDescent="0.25">
      <c r="B150" s="4"/>
      <c r="C150" s="5"/>
      <c r="D150" s="5"/>
      <c r="E150" s="5"/>
      <c r="F150" s="5"/>
      <c r="G150" s="5"/>
      <c r="H150" s="8" t="s">
        <v>15</v>
      </c>
      <c r="I150" s="14">
        <f>((C140*1000/0.774)*(C143/1000))/(C140*1000)*100</f>
        <v>10.581395348837209</v>
      </c>
      <c r="J150" s="8" t="s">
        <v>76</v>
      </c>
      <c r="K150" s="6"/>
    </row>
    <row r="151" spans="2:11" ht="30" x14ac:dyDescent="0.25">
      <c r="B151" s="4"/>
      <c r="C151" s="9" t="s">
        <v>8</v>
      </c>
      <c r="D151" s="10" t="s">
        <v>9</v>
      </c>
      <c r="E151" s="10" t="s">
        <v>50</v>
      </c>
      <c r="F151" s="10" t="s">
        <v>10</v>
      </c>
      <c r="G151" s="10" t="s">
        <v>11</v>
      </c>
      <c r="H151" s="8" t="s">
        <v>17</v>
      </c>
      <c r="I151" s="14">
        <f>(G161/10)/(C141*1000)*100</f>
        <v>10.332395437262358</v>
      </c>
      <c r="J151" s="8" t="s">
        <v>76</v>
      </c>
      <c r="K151" s="6"/>
    </row>
    <row r="152" spans="2:11" x14ac:dyDescent="0.25">
      <c r="B152" s="4"/>
      <c r="C152" s="9" t="s">
        <v>20</v>
      </c>
      <c r="D152" s="11">
        <v>3777.6</v>
      </c>
      <c r="E152" s="11"/>
      <c r="F152" s="11">
        <f>D152+(E152*5)</f>
        <v>3777.6</v>
      </c>
      <c r="G152" s="11">
        <f>D152+(10*E152)</f>
        <v>3777.6</v>
      </c>
      <c r="H152" s="5"/>
      <c r="I152" s="5"/>
      <c r="J152" s="5"/>
      <c r="K152" s="6"/>
    </row>
    <row r="153" spans="2:11" x14ac:dyDescent="0.25">
      <c r="B153" s="4"/>
      <c r="C153" s="9" t="s">
        <v>72</v>
      </c>
      <c r="D153" s="11">
        <v>9000</v>
      </c>
      <c r="E153" s="11">
        <v>300</v>
      </c>
      <c r="F153" s="11">
        <f t="shared" ref="F153:F155" si="12">D153+(E153*5)</f>
        <v>10500</v>
      </c>
      <c r="G153" s="11">
        <f t="shared" ref="G153:G155" si="13">D153+(10*E153)</f>
        <v>12000</v>
      </c>
      <c r="H153" s="5"/>
      <c r="I153" s="5"/>
      <c r="J153" s="5"/>
      <c r="K153" s="6"/>
    </row>
    <row r="154" spans="2:11" x14ac:dyDescent="0.25">
      <c r="B154" s="4"/>
      <c r="C154" s="9" t="s">
        <v>68</v>
      </c>
      <c r="D154" s="11">
        <v>40500</v>
      </c>
      <c r="E154" s="11"/>
      <c r="F154" s="11">
        <f t="shared" si="12"/>
        <v>40500</v>
      </c>
      <c r="G154" s="11">
        <f t="shared" si="13"/>
        <v>40500</v>
      </c>
      <c r="H154" s="5"/>
      <c r="I154" s="5"/>
      <c r="J154" s="5"/>
      <c r="K154" s="6"/>
    </row>
    <row r="155" spans="2:11" x14ac:dyDescent="0.25">
      <c r="B155" s="4"/>
      <c r="C155" s="9" t="s">
        <v>23</v>
      </c>
      <c r="D155" s="11">
        <v>7600</v>
      </c>
      <c r="E155" s="11"/>
      <c r="F155" s="11">
        <f t="shared" si="12"/>
        <v>7600</v>
      </c>
      <c r="G155" s="11">
        <f t="shared" si="13"/>
        <v>7600</v>
      </c>
      <c r="H155" s="5"/>
      <c r="I155" s="5"/>
      <c r="J155" s="5"/>
      <c r="K155" s="6"/>
    </row>
    <row r="156" spans="2:11" x14ac:dyDescent="0.25">
      <c r="B156" s="4"/>
      <c r="C156" s="32" t="s">
        <v>70</v>
      </c>
      <c r="D156" s="33">
        <v>18750</v>
      </c>
      <c r="E156" s="33">
        <v>500</v>
      </c>
      <c r="F156" s="33">
        <f>D156+(E156*5)</f>
        <v>21250</v>
      </c>
      <c r="G156" s="33">
        <f>D156+(10*E156)</f>
        <v>23750</v>
      </c>
      <c r="H156" s="5"/>
      <c r="I156" s="5"/>
      <c r="J156" s="5"/>
      <c r="K156" s="6"/>
    </row>
    <row r="157" spans="2:11" x14ac:dyDescent="0.25">
      <c r="B157" s="4"/>
      <c r="C157" s="32" t="s">
        <v>53</v>
      </c>
      <c r="D157" s="33">
        <v>3600</v>
      </c>
      <c r="E157" s="33"/>
      <c r="F157" s="33">
        <f>D157+(E157*5)</f>
        <v>3600</v>
      </c>
      <c r="G157" s="33">
        <f>D157+(10*E157)</f>
        <v>3600</v>
      </c>
      <c r="H157" s="5"/>
      <c r="I157" s="5"/>
      <c r="J157" s="5"/>
      <c r="K157" s="6"/>
    </row>
    <row r="158" spans="2:11" x14ac:dyDescent="0.25">
      <c r="B158" s="4"/>
      <c r="C158" s="9" t="s">
        <v>14</v>
      </c>
      <c r="D158" s="11">
        <v>6160</v>
      </c>
      <c r="E158" s="11"/>
      <c r="F158" s="11">
        <f>D158+(E158*5)</f>
        <v>6160</v>
      </c>
      <c r="G158" s="11">
        <f>D158+(10*E158)</f>
        <v>6160</v>
      </c>
      <c r="H158" s="5"/>
      <c r="I158" s="5"/>
      <c r="J158" s="5"/>
      <c r="K158" s="6"/>
    </row>
    <row r="159" spans="2:11" x14ac:dyDescent="0.25">
      <c r="B159" s="4"/>
      <c r="C159" s="9" t="s">
        <v>16</v>
      </c>
      <c r="D159" s="11"/>
      <c r="E159" s="11">
        <f>(C140*1000)*C142/100</f>
        <v>15557.400000000001</v>
      </c>
      <c r="F159" s="11">
        <f>D159+(E159*5)</f>
        <v>77787</v>
      </c>
      <c r="G159" s="11">
        <f>D159+(10*E159)</f>
        <v>155574</v>
      </c>
      <c r="H159" s="5"/>
      <c r="I159" s="5"/>
      <c r="J159" s="5"/>
      <c r="K159" s="6"/>
    </row>
    <row r="160" spans="2:11" x14ac:dyDescent="0.25">
      <c r="B160" s="4"/>
      <c r="C160" s="32" t="s">
        <v>54</v>
      </c>
      <c r="D160" s="33"/>
      <c r="E160" s="33">
        <f>(C144*C145*0.8*C146/100)*(-1)</f>
        <v>-3556.8</v>
      </c>
      <c r="F160" s="33">
        <f>D160+(E160*5)</f>
        <v>-17784</v>
      </c>
      <c r="G160" s="33">
        <f>D160+(10*E160)</f>
        <v>-35568</v>
      </c>
      <c r="H160" s="5"/>
      <c r="I160" s="5"/>
      <c r="J160" s="5"/>
      <c r="K160" s="6"/>
    </row>
    <row r="161" spans="2:11" x14ac:dyDescent="0.25">
      <c r="B161" s="4"/>
      <c r="C161" s="16" t="s">
        <v>18</v>
      </c>
      <c r="D161" s="17">
        <f>SUM(D152:D159)</f>
        <v>89387.6</v>
      </c>
      <c r="E161" s="17">
        <f>SUM(E152:E160)</f>
        <v>12800.600000000002</v>
      </c>
      <c r="F161" s="17">
        <f>SUM(F152:F159)</f>
        <v>171174.6</v>
      </c>
      <c r="G161" s="17">
        <f>SUM(G152:G160)</f>
        <v>217393.6</v>
      </c>
      <c r="H161" s="5"/>
      <c r="I161" s="5"/>
      <c r="J161" s="5"/>
      <c r="K161" s="6"/>
    </row>
    <row r="162" spans="2:11" x14ac:dyDescent="0.25">
      <c r="B162" s="4"/>
      <c r="C162" s="5"/>
      <c r="D162" s="5"/>
      <c r="E162" s="5"/>
      <c r="F162" s="5"/>
      <c r="G162" s="5"/>
      <c r="H162" s="5"/>
      <c r="I162" s="5"/>
      <c r="J162" s="5"/>
      <c r="K162" s="6"/>
    </row>
    <row r="163" spans="2:11" ht="15.75" thickBot="1" x14ac:dyDescent="0.3">
      <c r="B163" s="18"/>
      <c r="C163" s="19"/>
      <c r="D163" s="19"/>
      <c r="E163" s="19"/>
      <c r="F163" s="19"/>
      <c r="G163" s="19"/>
      <c r="H163" s="19"/>
      <c r="I163" s="19"/>
      <c r="J163" s="19"/>
      <c r="K163" s="20"/>
    </row>
    <row r="165" spans="2:11" ht="15.75" thickBot="1" x14ac:dyDescent="0.3"/>
    <row r="166" spans="2:11" ht="18.75" thickBot="1" x14ac:dyDescent="0.3">
      <c r="B166" s="1" t="s">
        <v>80</v>
      </c>
      <c r="C166" s="36"/>
      <c r="D166" s="2"/>
      <c r="E166" s="2"/>
      <c r="F166" s="2"/>
      <c r="G166" s="2"/>
      <c r="H166" s="2"/>
      <c r="I166" s="2"/>
      <c r="J166" s="2"/>
      <c r="K166" s="3"/>
    </row>
    <row r="167" spans="2:11" x14ac:dyDescent="0.25">
      <c r="B167" s="4"/>
      <c r="C167" s="5"/>
      <c r="D167" s="5"/>
      <c r="E167" s="5"/>
      <c r="F167" s="5"/>
      <c r="G167" s="5"/>
      <c r="H167" s="5"/>
      <c r="I167" s="5"/>
      <c r="J167" s="5"/>
      <c r="K167" s="6"/>
    </row>
    <row r="168" spans="2:11" x14ac:dyDescent="0.25">
      <c r="B168" s="7" t="s">
        <v>60</v>
      </c>
      <c r="C168" s="21">
        <v>259.29000000000002</v>
      </c>
      <c r="D168" s="8" t="s">
        <v>2</v>
      </c>
      <c r="E168" s="5"/>
      <c r="F168" s="5"/>
      <c r="G168" s="5"/>
      <c r="H168" s="5"/>
      <c r="I168" s="5"/>
      <c r="J168" s="5"/>
      <c r="K168" s="6"/>
    </row>
    <row r="169" spans="2:11" x14ac:dyDescent="0.25">
      <c r="B169" s="7" t="s">
        <v>67</v>
      </c>
      <c r="C169" s="21">
        <v>210.4</v>
      </c>
      <c r="D169" s="5" t="s">
        <v>2</v>
      </c>
      <c r="E169" s="5"/>
      <c r="F169" s="5"/>
      <c r="G169" s="5"/>
      <c r="H169" s="5"/>
      <c r="I169" s="5"/>
      <c r="J169" s="5"/>
      <c r="K169" s="6"/>
    </row>
    <row r="170" spans="2:11" x14ac:dyDescent="0.25">
      <c r="B170" s="7" t="s">
        <v>4</v>
      </c>
      <c r="C170" s="21">
        <v>6</v>
      </c>
      <c r="D170" s="8" t="s">
        <v>5</v>
      </c>
      <c r="E170" s="5"/>
      <c r="F170" s="5"/>
      <c r="G170" s="5"/>
      <c r="H170" s="5"/>
      <c r="I170" s="5"/>
      <c r="J170" s="5"/>
      <c r="K170" s="6"/>
    </row>
    <row r="171" spans="2:11" x14ac:dyDescent="0.25">
      <c r="B171" s="7" t="s">
        <v>6</v>
      </c>
      <c r="C171" s="21">
        <v>81.900000000000006</v>
      </c>
      <c r="D171" s="8" t="s">
        <v>7</v>
      </c>
      <c r="E171" s="5"/>
      <c r="F171" s="5"/>
      <c r="G171" s="5"/>
      <c r="H171" s="5"/>
      <c r="I171" s="5"/>
      <c r="J171" s="5"/>
      <c r="K171" s="6"/>
    </row>
    <row r="172" spans="2:11" x14ac:dyDescent="0.25">
      <c r="B172" s="35" t="s">
        <v>56</v>
      </c>
      <c r="C172" s="21">
        <v>6</v>
      </c>
      <c r="D172" s="34" t="s">
        <v>57</v>
      </c>
      <c r="E172" s="5"/>
      <c r="F172" s="5"/>
      <c r="G172" s="5"/>
      <c r="H172" s="5"/>
      <c r="I172" s="5"/>
      <c r="J172" s="5"/>
      <c r="K172" s="6"/>
    </row>
    <row r="173" spans="2:11" x14ac:dyDescent="0.25">
      <c r="B173" s="35" t="s">
        <v>58</v>
      </c>
      <c r="C173" s="21">
        <v>5700</v>
      </c>
      <c r="D173" s="34" t="s">
        <v>59</v>
      </c>
      <c r="E173" s="5"/>
      <c r="F173" s="5"/>
      <c r="G173" s="5"/>
      <c r="H173" s="5"/>
      <c r="I173" s="5"/>
      <c r="J173" s="5"/>
      <c r="K173" s="6"/>
    </row>
    <row r="174" spans="2:11" x14ac:dyDescent="0.25">
      <c r="B174" s="4" t="s">
        <v>55</v>
      </c>
      <c r="C174" s="21">
        <v>13</v>
      </c>
      <c r="D174" s="34" t="s">
        <v>5</v>
      </c>
      <c r="E174" s="5"/>
      <c r="F174" s="5"/>
      <c r="G174" s="5"/>
      <c r="H174" s="5"/>
      <c r="I174" s="5"/>
      <c r="J174" s="5"/>
      <c r="K174" s="6"/>
    </row>
    <row r="175" spans="2:11" x14ac:dyDescent="0.25">
      <c r="B175" s="4"/>
      <c r="C175" s="5"/>
      <c r="D175" s="5"/>
      <c r="E175" s="5"/>
      <c r="F175" s="5"/>
      <c r="G175" s="5"/>
      <c r="H175" s="5"/>
      <c r="I175" s="5"/>
      <c r="J175" s="5"/>
      <c r="K175" s="6"/>
    </row>
    <row r="176" spans="2:11" x14ac:dyDescent="0.25">
      <c r="B176" s="4"/>
      <c r="C176" s="5"/>
      <c r="D176" s="5"/>
      <c r="E176" s="5"/>
      <c r="F176" s="5"/>
      <c r="G176" s="5"/>
      <c r="H176" s="5"/>
      <c r="I176" s="5"/>
      <c r="J176" s="5"/>
      <c r="K176" s="6"/>
    </row>
    <row r="177" spans="2:11" x14ac:dyDescent="0.25">
      <c r="B177" s="4"/>
      <c r="C177" s="5"/>
      <c r="D177" s="5"/>
      <c r="E177" s="5"/>
      <c r="F177" s="5"/>
      <c r="G177" s="5"/>
      <c r="H177" s="5"/>
      <c r="I177" s="5"/>
      <c r="J177" s="5"/>
      <c r="K177" s="6"/>
    </row>
    <row r="178" spans="2:11" x14ac:dyDescent="0.25">
      <c r="B178" s="4"/>
      <c r="C178" s="5"/>
      <c r="D178" s="5"/>
      <c r="E178" s="5"/>
      <c r="F178" s="5"/>
      <c r="G178" s="5"/>
      <c r="H178" s="8" t="s">
        <v>15</v>
      </c>
      <c r="I178" s="14">
        <f>((C168*1000/0.774)*(C171/1000))/(C168*1000)*100</f>
        <v>10.581395348837209</v>
      </c>
      <c r="J178" s="8" t="s">
        <v>76</v>
      </c>
      <c r="K178" s="6"/>
    </row>
    <row r="179" spans="2:11" ht="30" x14ac:dyDescent="0.25">
      <c r="B179" s="4"/>
      <c r="C179" s="9" t="s">
        <v>8</v>
      </c>
      <c r="D179" s="10" t="s">
        <v>9</v>
      </c>
      <c r="E179" s="10" t="s">
        <v>50</v>
      </c>
      <c r="F179" s="10" t="s">
        <v>10</v>
      </c>
      <c r="G179" s="10" t="s">
        <v>11</v>
      </c>
      <c r="H179" s="8" t="s">
        <v>17</v>
      </c>
      <c r="I179" s="14">
        <f>(G190/10)/(C169*1000)*100</f>
        <v>12.345104562737642</v>
      </c>
      <c r="J179" s="8" t="s">
        <v>76</v>
      </c>
      <c r="K179" s="6"/>
    </row>
    <row r="180" spans="2:11" x14ac:dyDescent="0.25">
      <c r="B180" s="4"/>
      <c r="C180" s="9" t="s">
        <v>75</v>
      </c>
      <c r="D180" s="11">
        <v>3525</v>
      </c>
      <c r="E180" s="11"/>
      <c r="F180" s="11">
        <f>D180+(E180*5)</f>
        <v>3525</v>
      </c>
      <c r="G180" s="11">
        <f>D180+(10*E180)</f>
        <v>3525</v>
      </c>
      <c r="H180" s="5"/>
      <c r="I180" s="5"/>
      <c r="J180" s="5"/>
      <c r="K180" s="6"/>
    </row>
    <row r="181" spans="2:11" x14ac:dyDescent="0.25">
      <c r="B181" s="4"/>
      <c r="C181" s="9" t="s">
        <v>69</v>
      </c>
      <c r="D181" s="11">
        <v>9000</v>
      </c>
      <c r="E181" s="11">
        <v>300</v>
      </c>
      <c r="F181" s="11">
        <f t="shared" ref="F181:F183" si="14">D181+(E181*5)</f>
        <v>10500</v>
      </c>
      <c r="G181" s="11">
        <f t="shared" ref="G181:G183" si="15">D181+(10*E181)</f>
        <v>12000</v>
      </c>
      <c r="H181" s="5"/>
      <c r="I181" s="5"/>
      <c r="J181" s="5"/>
      <c r="K181" s="6"/>
    </row>
    <row r="182" spans="2:11" x14ac:dyDescent="0.25">
      <c r="B182" s="4"/>
      <c r="C182" s="9" t="s">
        <v>68</v>
      </c>
      <c r="D182" s="11">
        <v>40500</v>
      </c>
      <c r="E182" s="11"/>
      <c r="F182" s="11">
        <f t="shared" si="14"/>
        <v>40500</v>
      </c>
      <c r="G182" s="11">
        <f t="shared" si="15"/>
        <v>40500</v>
      </c>
      <c r="H182" s="5"/>
      <c r="I182" s="5"/>
      <c r="J182" s="5"/>
      <c r="K182" s="6"/>
    </row>
    <row r="183" spans="2:11" x14ac:dyDescent="0.25">
      <c r="B183" s="4"/>
      <c r="C183" s="9" t="s">
        <v>73</v>
      </c>
      <c r="D183" s="11">
        <v>15200</v>
      </c>
      <c r="E183" s="11"/>
      <c r="F183" s="11">
        <f t="shared" si="14"/>
        <v>15200</v>
      </c>
      <c r="G183" s="11">
        <f t="shared" si="15"/>
        <v>15200</v>
      </c>
      <c r="H183" s="5"/>
      <c r="I183" s="5"/>
      <c r="J183" s="5"/>
      <c r="K183" s="6"/>
    </row>
    <row r="184" spans="2:11" x14ac:dyDescent="0.25">
      <c r="B184" s="4"/>
      <c r="C184" s="32" t="s">
        <v>70</v>
      </c>
      <c r="D184" s="33">
        <v>18750</v>
      </c>
      <c r="E184" s="33">
        <v>500</v>
      </c>
      <c r="F184" s="33">
        <f t="shared" ref="F184:F189" si="16">D184+(E184*5)</f>
        <v>21250</v>
      </c>
      <c r="G184" s="33">
        <f t="shared" ref="G184:G189" si="17">D184+(10*E184)</f>
        <v>23750</v>
      </c>
      <c r="H184" s="5"/>
      <c r="I184" s="5"/>
      <c r="J184" s="5"/>
      <c r="K184" s="6"/>
    </row>
    <row r="185" spans="2:11" x14ac:dyDescent="0.25">
      <c r="B185" s="4"/>
      <c r="C185" s="32" t="s">
        <v>53</v>
      </c>
      <c r="D185" s="33">
        <v>3600</v>
      </c>
      <c r="E185" s="33"/>
      <c r="F185" s="33">
        <f t="shared" si="16"/>
        <v>3600</v>
      </c>
      <c r="G185" s="33">
        <f t="shared" si="17"/>
        <v>3600</v>
      </c>
      <c r="H185" s="5"/>
      <c r="I185" s="5"/>
      <c r="J185" s="5"/>
      <c r="K185" s="6"/>
    </row>
    <row r="186" spans="2:11" x14ac:dyDescent="0.25">
      <c r="B186" s="4"/>
      <c r="C186" s="9" t="s">
        <v>14</v>
      </c>
      <c r="D186" s="11">
        <v>6160</v>
      </c>
      <c r="E186" s="11"/>
      <c r="F186" s="11">
        <f t="shared" si="16"/>
        <v>6160</v>
      </c>
      <c r="G186" s="11">
        <f t="shared" si="17"/>
        <v>6160</v>
      </c>
      <c r="H186" s="5"/>
      <c r="I186" s="5"/>
      <c r="J186" s="5"/>
      <c r="K186" s="6"/>
    </row>
    <row r="187" spans="2:11" x14ac:dyDescent="0.25">
      <c r="B187" s="4"/>
      <c r="C187" s="32" t="s">
        <v>74</v>
      </c>
      <c r="D187" s="33">
        <v>35000</v>
      </c>
      <c r="E187" s="33"/>
      <c r="F187" s="33">
        <f t="shared" si="16"/>
        <v>35000</v>
      </c>
      <c r="G187" s="33">
        <f t="shared" si="17"/>
        <v>35000</v>
      </c>
      <c r="H187" s="5"/>
      <c r="I187" s="5"/>
      <c r="J187" s="5"/>
      <c r="K187" s="6"/>
    </row>
    <row r="188" spans="2:11" x14ac:dyDescent="0.25">
      <c r="B188" s="4"/>
      <c r="C188" s="9" t="s">
        <v>16</v>
      </c>
      <c r="D188" s="11"/>
      <c r="E188" s="11">
        <f>(C168*1000)*C170/100</f>
        <v>15557.400000000001</v>
      </c>
      <c r="F188" s="11">
        <f t="shared" si="16"/>
        <v>77787</v>
      </c>
      <c r="G188" s="11">
        <f t="shared" si="17"/>
        <v>155574</v>
      </c>
      <c r="H188" s="5"/>
      <c r="I188" s="5"/>
      <c r="J188" s="5"/>
      <c r="K188" s="6"/>
    </row>
    <row r="189" spans="2:11" x14ac:dyDescent="0.25">
      <c r="B189" s="4"/>
      <c r="C189" s="32" t="s">
        <v>54</v>
      </c>
      <c r="D189" s="33"/>
      <c r="E189" s="33">
        <f>(C172*C173*0.8*C174/100)*(-1)</f>
        <v>-3556.8</v>
      </c>
      <c r="F189" s="33">
        <f t="shared" si="16"/>
        <v>-17784</v>
      </c>
      <c r="G189" s="33">
        <f t="shared" si="17"/>
        <v>-35568</v>
      </c>
      <c r="H189" s="5"/>
      <c r="I189" s="5"/>
      <c r="J189" s="5"/>
      <c r="K189" s="6"/>
    </row>
    <row r="190" spans="2:11" x14ac:dyDescent="0.25">
      <c r="B190" s="4"/>
      <c r="C190" s="16" t="s">
        <v>18</v>
      </c>
      <c r="D190" s="17">
        <f>SUM(D180:D188)</f>
        <v>131735</v>
      </c>
      <c r="E190" s="17">
        <f>SUM(E180:E189)</f>
        <v>12800.600000000002</v>
      </c>
      <c r="F190" s="17">
        <f>SUM(F180:F188)</f>
        <v>213522</v>
      </c>
      <c r="G190" s="17">
        <f>SUM(G180:G189)</f>
        <v>259741</v>
      </c>
      <c r="H190" s="5"/>
      <c r="I190" s="5"/>
      <c r="J190" s="5"/>
      <c r="K190" s="6"/>
    </row>
    <row r="191" spans="2:11" x14ac:dyDescent="0.25">
      <c r="B191" s="4"/>
      <c r="C191" s="5"/>
      <c r="D191" s="5"/>
      <c r="E191" s="5"/>
      <c r="F191" s="5"/>
      <c r="G191" s="5"/>
      <c r="K191" s="6"/>
    </row>
    <row r="192" spans="2:11" ht="15.75" thickBot="1" x14ac:dyDescent="0.3">
      <c r="B192" s="18"/>
      <c r="C192" s="19"/>
      <c r="D192" s="19"/>
      <c r="E192" s="19"/>
      <c r="F192" s="19"/>
      <c r="G192" s="19"/>
      <c r="H192" s="19"/>
      <c r="I192" s="19"/>
      <c r="J192" s="19"/>
      <c r="K192" s="20"/>
    </row>
  </sheetData>
  <pageMargins left="0.7" right="0.7" top="0.75" bottom="0.75" header="0.3" footer="0.3"/>
  <pageSetup paperSize="9" orientation="portrait" horizontalDpi="0" verticalDpi="0" r:id="rId1"/>
  <ignoredErrors>
    <ignoredError sqref="F94:G94" calculatedColumn="1"/>
  </ignoredErrors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I1" workbookViewId="0">
      <selection activeCell="F29" sqref="F29"/>
    </sheetView>
  </sheetViews>
  <sheetFormatPr baseColWidth="10" defaultRowHeight="15" x14ac:dyDescent="0.25"/>
  <cols>
    <col min="1" max="1" width="10.5703125" customWidth="1"/>
    <col min="2" max="2" width="17.85546875" bestFit="1" customWidth="1"/>
    <col min="3" max="3" width="23.7109375" bestFit="1" customWidth="1"/>
    <col min="4" max="4" width="14.42578125" bestFit="1" customWidth="1"/>
    <col min="8" max="8" width="36.140625" bestFit="1" customWidth="1"/>
    <col min="13" max="13" width="18.7109375" bestFit="1" customWidth="1"/>
  </cols>
  <sheetData>
    <row r="1" spans="1:20" ht="15.75" thickBot="1" x14ac:dyDescent="0.3"/>
    <row r="2" spans="1:20" ht="18.75" thickBot="1" x14ac:dyDescent="0.3">
      <c r="A2" s="5"/>
      <c r="B2" s="1" t="s">
        <v>0</v>
      </c>
      <c r="C2" s="2"/>
      <c r="D2" s="2"/>
      <c r="E2" s="2"/>
      <c r="F2" s="2"/>
      <c r="G2" s="2"/>
      <c r="H2" s="2"/>
      <c r="I2" s="2"/>
      <c r="J2" s="2"/>
      <c r="K2" s="3"/>
      <c r="M2" s="37" t="s">
        <v>81</v>
      </c>
      <c r="N2" s="2"/>
      <c r="O2" s="2"/>
      <c r="P2" s="2"/>
      <c r="Q2" s="2"/>
      <c r="R2" s="2"/>
      <c r="S2" s="2"/>
      <c r="T2" s="3"/>
    </row>
    <row r="3" spans="1:20" x14ac:dyDescent="0.25">
      <c r="B3" s="4"/>
      <c r="C3" s="5"/>
      <c r="D3" s="5"/>
      <c r="E3" s="5"/>
      <c r="F3" s="5"/>
      <c r="G3" s="5"/>
      <c r="H3" s="5"/>
      <c r="I3" s="5"/>
      <c r="J3" s="5"/>
      <c r="K3" s="6"/>
      <c r="M3" s="4"/>
      <c r="N3" s="38">
        <v>-0.15</v>
      </c>
      <c r="O3" s="38">
        <v>-0.1</v>
      </c>
      <c r="P3" s="38">
        <v>-0.05</v>
      </c>
      <c r="Q3" s="38">
        <v>0</v>
      </c>
      <c r="R3" s="38">
        <v>0.05</v>
      </c>
      <c r="S3" s="38">
        <v>0.1</v>
      </c>
      <c r="T3" s="39">
        <v>0.15</v>
      </c>
    </row>
    <row r="4" spans="1:20" x14ac:dyDescent="0.25">
      <c r="B4" s="7" t="s">
        <v>1</v>
      </c>
      <c r="C4" s="21">
        <v>210.4</v>
      </c>
      <c r="D4" s="8" t="s">
        <v>2</v>
      </c>
      <c r="E4" s="5"/>
      <c r="F4" s="5"/>
      <c r="G4" s="5"/>
      <c r="H4" s="5"/>
      <c r="I4" s="5"/>
      <c r="J4" s="5"/>
      <c r="K4" s="6"/>
      <c r="M4" s="40">
        <f>I15</f>
        <v>8.536630117605446</v>
      </c>
      <c r="N4" s="43">
        <f t="dataTable" ref="N4:T4" dt2D="0" dtr="1" r1="E5" ca="1"/>
        <v>9.7678202680842432</v>
      </c>
      <c r="O4" s="43">
        <v>9.3118239160550598</v>
      </c>
      <c r="P4" s="43">
        <v>8.9038271800289497</v>
      </c>
      <c r="Q4" s="43">
        <v>8.536630117605446</v>
      </c>
      <c r="R4" s="43">
        <v>8.2044042039841845</v>
      </c>
      <c r="S4" s="43">
        <v>7.9023806461466712</v>
      </c>
      <c r="T4" s="44">
        <v>7.6266200063819882</v>
      </c>
    </row>
    <row r="5" spans="1:20" x14ac:dyDescent="0.25">
      <c r="B5" s="7" t="s">
        <v>3</v>
      </c>
      <c r="C5" s="21">
        <f>0.86*(1+E5)</f>
        <v>0.86</v>
      </c>
      <c r="D5" s="5"/>
      <c r="E5" s="41"/>
      <c r="F5" s="5"/>
      <c r="G5" s="5"/>
      <c r="H5" s="5"/>
      <c r="I5" s="5"/>
      <c r="J5" s="5"/>
      <c r="K5" s="6"/>
      <c r="M5" s="4"/>
      <c r="N5" s="5"/>
      <c r="O5" s="5"/>
      <c r="P5" s="5"/>
      <c r="Q5" s="5"/>
      <c r="R5" s="5"/>
      <c r="S5" s="5"/>
      <c r="T5" s="6"/>
    </row>
    <row r="6" spans="1:20" x14ac:dyDescent="0.25">
      <c r="B6" s="7" t="s">
        <v>4</v>
      </c>
      <c r="C6" s="21">
        <f>6*(1+E6)</f>
        <v>6</v>
      </c>
      <c r="D6" s="8" t="s">
        <v>5</v>
      </c>
      <c r="E6" s="41"/>
      <c r="F6" s="5"/>
      <c r="G6" s="5"/>
      <c r="H6" s="5"/>
      <c r="I6" s="5"/>
      <c r="J6" s="5"/>
      <c r="K6" s="6"/>
      <c r="M6" s="4" t="s">
        <v>78</v>
      </c>
      <c r="N6" s="5"/>
      <c r="O6" s="5"/>
      <c r="P6" s="5"/>
      <c r="Q6" s="5"/>
      <c r="R6" s="5"/>
      <c r="S6" s="5"/>
      <c r="T6" s="6"/>
    </row>
    <row r="7" spans="1:20" x14ac:dyDescent="0.25">
      <c r="B7" s="7" t="s">
        <v>6</v>
      </c>
      <c r="C7" s="21">
        <v>81.900000000000006</v>
      </c>
      <c r="D7" s="8" t="s">
        <v>7</v>
      </c>
      <c r="E7" s="5"/>
      <c r="F7" s="5"/>
      <c r="G7" s="5"/>
      <c r="H7" s="5"/>
      <c r="I7" s="5"/>
      <c r="J7" s="5"/>
      <c r="K7" s="6"/>
      <c r="M7" s="4"/>
      <c r="N7" s="38">
        <v>-0.15</v>
      </c>
      <c r="O7" s="38">
        <v>-0.1</v>
      </c>
      <c r="P7" s="38">
        <v>-0.05</v>
      </c>
      <c r="Q7" s="38">
        <v>0</v>
      </c>
      <c r="R7" s="38">
        <v>0.05</v>
      </c>
      <c r="S7" s="38">
        <v>0.1</v>
      </c>
      <c r="T7" s="39">
        <v>0.15</v>
      </c>
    </row>
    <row r="8" spans="1:20" x14ac:dyDescent="0.25">
      <c r="B8" s="4"/>
      <c r="C8" s="5"/>
      <c r="D8" s="5"/>
      <c r="E8" s="5"/>
      <c r="F8" s="5"/>
      <c r="G8" s="5"/>
      <c r="H8" s="5"/>
      <c r="I8" s="5"/>
      <c r="J8" s="5"/>
      <c r="K8" s="6"/>
      <c r="M8" s="40">
        <f>I15</f>
        <v>8.536630117605446</v>
      </c>
      <c r="N8" s="43">
        <f t="dataTable" ref="N8:T8" dt2D="0" dtr="1" r1="D16"/>
        <v>8.345422893270845</v>
      </c>
      <c r="O8" s="43">
        <v>8.4091586347157126</v>
      </c>
      <c r="P8" s="43">
        <v>8.4728943761605802</v>
      </c>
      <c r="Q8" s="43">
        <v>8.536630117605446</v>
      </c>
      <c r="R8" s="43">
        <v>8.6003658590503136</v>
      </c>
      <c r="S8" s="43">
        <v>8.6641016004951812</v>
      </c>
      <c r="T8" s="44">
        <v>8.727837341940047</v>
      </c>
    </row>
    <row r="9" spans="1:20" x14ac:dyDescent="0.25">
      <c r="B9" s="4"/>
      <c r="C9" s="5"/>
      <c r="D9" s="5"/>
      <c r="E9" s="5"/>
      <c r="F9" s="5"/>
      <c r="G9" s="5"/>
      <c r="H9" s="5"/>
      <c r="I9" s="5"/>
      <c r="J9" s="5"/>
      <c r="K9" s="6"/>
      <c r="M9" s="4"/>
      <c r="N9" s="5"/>
      <c r="O9" s="5"/>
      <c r="P9" s="5"/>
      <c r="Q9" s="5"/>
      <c r="R9" s="5"/>
      <c r="S9" s="5"/>
      <c r="T9" s="6"/>
    </row>
    <row r="10" spans="1:20" ht="30" x14ac:dyDescent="0.25">
      <c r="B10" s="4"/>
      <c r="C10" s="9" t="s">
        <v>8</v>
      </c>
      <c r="D10" s="10" t="s">
        <v>9</v>
      </c>
      <c r="E10" s="10" t="s">
        <v>50</v>
      </c>
      <c r="F10" s="10" t="s">
        <v>10</v>
      </c>
      <c r="G10" s="10" t="s">
        <v>11</v>
      </c>
      <c r="H10" s="5"/>
      <c r="I10" s="5"/>
      <c r="J10" s="5"/>
      <c r="K10" s="6"/>
      <c r="M10" s="4" t="s">
        <v>79</v>
      </c>
      <c r="N10" s="5"/>
      <c r="O10" s="5"/>
      <c r="P10" s="5"/>
      <c r="Q10" s="5"/>
      <c r="R10" s="5"/>
      <c r="S10" s="5"/>
      <c r="T10" s="6"/>
    </row>
    <row r="11" spans="1:20" x14ac:dyDescent="0.25">
      <c r="B11" s="4"/>
      <c r="C11" s="9" t="s">
        <v>12</v>
      </c>
      <c r="D11" s="11">
        <v>8500</v>
      </c>
      <c r="E11" s="12"/>
      <c r="F11" s="11">
        <f t="shared" ref="F11:F15" si="0">D11+(E11*5)</f>
        <v>8500</v>
      </c>
      <c r="G11" s="11">
        <f t="shared" ref="G11:G15" si="1">D11+(10*E11)</f>
        <v>8500</v>
      </c>
      <c r="H11" s="5"/>
      <c r="I11" s="5"/>
      <c r="J11" s="5"/>
      <c r="K11" s="6"/>
      <c r="M11" s="4"/>
      <c r="N11" s="38">
        <v>-0.15</v>
      </c>
      <c r="O11" s="38">
        <v>-0.1</v>
      </c>
      <c r="P11" s="38">
        <v>-0.05</v>
      </c>
      <c r="Q11" s="38">
        <v>0</v>
      </c>
      <c r="R11" s="38">
        <v>0.05</v>
      </c>
      <c r="S11" s="38">
        <v>0.1</v>
      </c>
      <c r="T11" s="39">
        <v>0.15</v>
      </c>
    </row>
    <row r="12" spans="1:20" x14ac:dyDescent="0.25">
      <c r="B12" s="4"/>
      <c r="C12" s="9" t="s">
        <v>13</v>
      </c>
      <c r="D12" s="11">
        <v>10000</v>
      </c>
      <c r="E12" s="12">
        <v>600</v>
      </c>
      <c r="F12" s="11">
        <f>D12+(E12*5)</f>
        <v>13000</v>
      </c>
      <c r="G12" s="11">
        <f t="shared" si="1"/>
        <v>16000</v>
      </c>
      <c r="H12" s="5"/>
      <c r="I12" s="5"/>
      <c r="J12" s="5"/>
      <c r="K12" s="6"/>
      <c r="M12" s="40">
        <f>I15</f>
        <v>8.536630117605446</v>
      </c>
      <c r="N12" s="43">
        <f t="dataTable" ref="N12:T12" dt2D="0" dtr="1" r1="E6" ca="1"/>
        <v>7.4901184896984701</v>
      </c>
      <c r="O12" s="43">
        <v>7.8389556990007963</v>
      </c>
      <c r="P12" s="43">
        <v>8.1877929083031216</v>
      </c>
      <c r="Q12" s="43">
        <v>8.536630117605446</v>
      </c>
      <c r="R12" s="43">
        <v>8.8854673269077722</v>
      </c>
      <c r="S12" s="43">
        <v>9.2343045362100966</v>
      </c>
      <c r="T12" s="44">
        <v>9.5831417455124228</v>
      </c>
    </row>
    <row r="13" spans="1:20" ht="15.75" thickBot="1" x14ac:dyDescent="0.3">
      <c r="B13" s="4"/>
      <c r="C13" s="9" t="s">
        <v>14</v>
      </c>
      <c r="D13" s="11">
        <v>8320</v>
      </c>
      <c r="E13" s="12"/>
      <c r="F13" s="11">
        <f t="shared" si="0"/>
        <v>8320</v>
      </c>
      <c r="G13" s="11">
        <f t="shared" si="1"/>
        <v>8320</v>
      </c>
      <c r="H13" s="5"/>
      <c r="I13" s="5"/>
      <c r="J13" s="5"/>
      <c r="K13" s="6"/>
      <c r="M13" s="18"/>
      <c r="N13" s="19"/>
      <c r="O13" s="19"/>
      <c r="P13" s="19"/>
      <c r="Q13" s="19"/>
      <c r="R13" s="19"/>
      <c r="S13" s="19"/>
      <c r="T13" s="20"/>
    </row>
    <row r="14" spans="1:20" x14ac:dyDescent="0.25">
      <c r="B14" s="4"/>
      <c r="C14" s="13" t="s">
        <v>16</v>
      </c>
      <c r="D14" s="15"/>
      <c r="E14" s="11">
        <f>((C4*1000)/C5)*(C6/100)</f>
        <v>14679.069767441861</v>
      </c>
      <c r="F14" s="11">
        <f t="shared" si="0"/>
        <v>73395.348837209298</v>
      </c>
      <c r="G14" s="11">
        <f t="shared" si="1"/>
        <v>146790.6976744186</v>
      </c>
      <c r="H14" s="8" t="s">
        <v>49</v>
      </c>
      <c r="I14" s="14">
        <f>((C4*1000/0.774)*(C7/1000))/(C4*1000)*100</f>
        <v>10.58139534883721</v>
      </c>
      <c r="J14" s="8" t="s">
        <v>76</v>
      </c>
      <c r="K14" s="6"/>
    </row>
    <row r="15" spans="1:20" x14ac:dyDescent="0.25">
      <c r="B15" s="4"/>
      <c r="C15" s="16" t="s">
        <v>18</v>
      </c>
      <c r="D15" s="17">
        <f>SUM(D11:D14)*(1+D16)</f>
        <v>26820</v>
      </c>
      <c r="E15" s="17">
        <f>SUM(E11:E14)</f>
        <v>15279.069767441861</v>
      </c>
      <c r="F15" s="17">
        <f t="shared" si="0"/>
        <v>103215.3488372093</v>
      </c>
      <c r="G15" s="17">
        <f t="shared" si="1"/>
        <v>179610.6976744186</v>
      </c>
      <c r="H15" s="8" t="s">
        <v>17</v>
      </c>
      <c r="I15" s="14">
        <f>(G15/10)/(C4*1000)*100</f>
        <v>8.536630117605446</v>
      </c>
      <c r="J15" s="8" t="s">
        <v>76</v>
      </c>
      <c r="K15" s="6"/>
      <c r="N15" s="5"/>
      <c r="O15" s="5"/>
      <c r="P15" s="5"/>
      <c r="Q15" s="5"/>
      <c r="R15" s="5"/>
      <c r="S15" s="5"/>
      <c r="T15" s="5"/>
    </row>
    <row r="16" spans="1:20" x14ac:dyDescent="0.25">
      <c r="B16" s="4"/>
      <c r="C16" s="16"/>
      <c r="D16" s="46"/>
      <c r="E16" s="17"/>
      <c r="F16" s="17"/>
      <c r="G16" s="17"/>
      <c r="H16" s="8"/>
      <c r="I16" s="14"/>
      <c r="J16" s="8"/>
      <c r="K16" s="6"/>
      <c r="M16" s="5"/>
      <c r="N16" s="38"/>
      <c r="O16" s="38"/>
      <c r="P16" s="38"/>
      <c r="Q16" s="38"/>
      <c r="R16" s="38"/>
      <c r="S16" s="38"/>
      <c r="T16" s="38"/>
    </row>
    <row r="17" spans="2:21" x14ac:dyDescent="0.25">
      <c r="B17" s="4"/>
      <c r="H17" s="5"/>
      <c r="I17" s="5"/>
      <c r="J17" s="5"/>
      <c r="K17" s="6"/>
      <c r="M17" s="43"/>
      <c r="N17" s="5"/>
      <c r="O17" s="5"/>
      <c r="P17" s="5"/>
      <c r="Q17" s="5"/>
      <c r="R17" s="5"/>
      <c r="S17" s="5"/>
      <c r="T17" s="5"/>
    </row>
    <row r="18" spans="2:21" ht="15.75" thickBo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20"/>
      <c r="M18" s="5"/>
      <c r="N18" s="5"/>
      <c r="O18" s="5"/>
      <c r="P18" s="5"/>
      <c r="Q18" s="5"/>
      <c r="R18" s="5"/>
      <c r="S18" s="5"/>
      <c r="T18" s="5"/>
    </row>
    <row r="19" spans="2:21" x14ac:dyDescent="0.25">
      <c r="M19" s="5"/>
      <c r="N19" s="5"/>
      <c r="O19" s="5"/>
      <c r="P19" s="5"/>
      <c r="Q19" s="5"/>
      <c r="R19" s="5"/>
      <c r="S19" s="5"/>
      <c r="T19" s="5"/>
    </row>
    <row r="20" spans="2:21" x14ac:dyDescent="0.25">
      <c r="U20" s="5"/>
    </row>
    <row r="21" spans="2:21" x14ac:dyDescent="0.25">
      <c r="U21" s="5"/>
    </row>
    <row r="22" spans="2:21" x14ac:dyDescent="0.25">
      <c r="U22" s="5"/>
    </row>
    <row r="23" spans="2:21" x14ac:dyDescent="0.25">
      <c r="U23" s="5"/>
    </row>
  </sheetData>
  <pageMargins left="0.7" right="0.7" top="0.78740157499999996" bottom="0.78740157499999996" header="0.3" footer="0.3"/>
  <pageSetup paperSize="9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L1" workbookViewId="0">
      <selection activeCell="Q40" sqref="Q40"/>
    </sheetView>
  </sheetViews>
  <sheetFormatPr baseColWidth="10" defaultRowHeight="15" x14ac:dyDescent="0.25"/>
  <cols>
    <col min="1" max="1" width="10.5703125" customWidth="1"/>
    <col min="2" max="2" width="17.85546875" bestFit="1" customWidth="1"/>
    <col min="3" max="3" width="23.7109375" bestFit="1" customWidth="1"/>
    <col min="4" max="4" width="14.42578125" bestFit="1" customWidth="1"/>
    <col min="8" max="8" width="36.140625" bestFit="1" customWidth="1"/>
    <col min="13" max="13" width="18.7109375" bestFit="1" customWidth="1"/>
  </cols>
  <sheetData>
    <row r="1" spans="1:20" ht="15.75" thickBot="1" x14ac:dyDescent="0.3"/>
    <row r="2" spans="1:20" ht="18.75" thickBot="1" x14ac:dyDescent="0.3">
      <c r="A2" s="5"/>
      <c r="B2" s="1" t="s">
        <v>19</v>
      </c>
      <c r="C2" s="2"/>
      <c r="D2" s="2"/>
      <c r="E2" s="2"/>
      <c r="F2" s="2"/>
      <c r="G2" s="2"/>
      <c r="H2" s="2"/>
      <c r="I2" s="2"/>
      <c r="J2" s="2"/>
      <c r="K2" s="3"/>
      <c r="M2" s="37" t="s">
        <v>81</v>
      </c>
      <c r="N2" s="2"/>
      <c r="O2" s="2"/>
      <c r="P2" s="2"/>
      <c r="Q2" s="2"/>
      <c r="R2" s="2"/>
      <c r="S2" s="2"/>
      <c r="T2" s="3"/>
    </row>
    <row r="3" spans="1:20" x14ac:dyDescent="0.25">
      <c r="B3" s="4"/>
      <c r="E3" s="5"/>
      <c r="F3" s="5"/>
      <c r="G3" s="5"/>
      <c r="H3" s="5"/>
      <c r="I3" s="5"/>
      <c r="J3" s="5"/>
      <c r="K3" s="6"/>
      <c r="M3" s="4"/>
      <c r="N3" s="38">
        <v>-0.15</v>
      </c>
      <c r="O3" s="38">
        <v>-0.1</v>
      </c>
      <c r="P3" s="38">
        <v>-0.05</v>
      </c>
      <c r="Q3" s="38">
        <v>0</v>
      </c>
      <c r="R3" s="38">
        <v>0.05</v>
      </c>
      <c r="S3" s="38">
        <v>0.1</v>
      </c>
      <c r="T3" s="39">
        <v>0.15</v>
      </c>
    </row>
    <row r="4" spans="1:20" x14ac:dyDescent="0.25">
      <c r="B4" s="7" t="s">
        <v>1</v>
      </c>
      <c r="C4" s="21">
        <v>210.4</v>
      </c>
      <c r="D4" s="8" t="s">
        <v>2</v>
      </c>
      <c r="E4" s="5"/>
      <c r="F4" s="5"/>
      <c r="G4" s="5"/>
      <c r="H4" s="5"/>
      <c r="I4" s="5"/>
      <c r="J4" s="5"/>
      <c r="K4" s="6"/>
      <c r="M4" s="40">
        <f>I15</f>
        <v>9.3863259350959414</v>
      </c>
      <c r="N4" s="43">
        <f t="dataTable" ref="N4:T4" dt2D="0" dtr="1" r1="E5"/>
        <v>10.617516085574739</v>
      </c>
      <c r="O4" s="43">
        <v>10.161519733545553</v>
      </c>
      <c r="P4" s="43">
        <v>9.7535229975194433</v>
      </c>
      <c r="Q4" s="43">
        <v>9.3863259350959414</v>
      </c>
      <c r="R4" s="43">
        <v>9.0541000214746781</v>
      </c>
      <c r="S4" s="43">
        <v>8.7520764636371666</v>
      </c>
      <c r="T4" s="44">
        <v>8.4763158238724845</v>
      </c>
    </row>
    <row r="5" spans="1:20" x14ac:dyDescent="0.25">
      <c r="B5" s="7" t="s">
        <v>3</v>
      </c>
      <c r="C5" s="21">
        <f>0.86*(1+E5)</f>
        <v>0.86</v>
      </c>
      <c r="D5" s="5"/>
      <c r="E5" s="41"/>
      <c r="F5" s="5"/>
      <c r="G5" s="5"/>
      <c r="H5" s="5"/>
      <c r="I5" s="5"/>
      <c r="J5" s="5"/>
      <c r="K5" s="6"/>
      <c r="M5" s="4"/>
      <c r="N5" s="5"/>
      <c r="O5" s="5"/>
      <c r="P5" s="5"/>
      <c r="Q5" s="5"/>
      <c r="R5" s="5"/>
      <c r="S5" s="5"/>
      <c r="T5" s="6"/>
    </row>
    <row r="6" spans="1:20" x14ac:dyDescent="0.25">
      <c r="B6" s="7" t="s">
        <v>4</v>
      </c>
      <c r="C6" s="21">
        <f>6*(1+E6)</f>
        <v>6</v>
      </c>
      <c r="D6" s="8" t="s">
        <v>5</v>
      </c>
      <c r="E6" s="41"/>
      <c r="F6" s="5"/>
      <c r="G6" s="5"/>
      <c r="H6" s="5"/>
      <c r="I6" s="5"/>
      <c r="J6" s="5"/>
      <c r="K6" s="6"/>
      <c r="M6" s="4" t="s">
        <v>78</v>
      </c>
      <c r="N6" s="5"/>
      <c r="O6" s="5"/>
      <c r="P6" s="5"/>
      <c r="Q6" s="5"/>
      <c r="R6" s="5"/>
      <c r="S6" s="5"/>
      <c r="T6" s="6"/>
    </row>
    <row r="7" spans="1:20" x14ac:dyDescent="0.25">
      <c r="B7" s="7" t="s">
        <v>6</v>
      </c>
      <c r="C7" s="21">
        <v>81.900000000000006</v>
      </c>
      <c r="D7" s="8" t="s">
        <v>7</v>
      </c>
      <c r="E7" s="5"/>
      <c r="F7" s="5"/>
      <c r="G7" s="5"/>
      <c r="H7" s="5"/>
      <c r="I7" s="5"/>
      <c r="J7" s="5"/>
      <c r="K7" s="6"/>
      <c r="M7" s="4"/>
      <c r="N7" s="38">
        <v>-0.15</v>
      </c>
      <c r="O7" s="38">
        <v>-0.1</v>
      </c>
      <c r="P7" s="38">
        <v>-0.05</v>
      </c>
      <c r="Q7" s="38">
        <v>0</v>
      </c>
      <c r="R7" s="38">
        <v>0.05</v>
      </c>
      <c r="S7" s="38">
        <v>0.1</v>
      </c>
      <c r="T7" s="39">
        <v>0.15</v>
      </c>
    </row>
    <row r="8" spans="1:20" x14ac:dyDescent="0.25">
      <c r="B8" s="4"/>
      <c r="C8" s="5"/>
      <c r="D8" s="5"/>
      <c r="E8" s="5"/>
      <c r="F8" s="5"/>
      <c r="G8" s="5"/>
      <c r="H8" s="5"/>
      <c r="I8" s="5"/>
      <c r="J8" s="5"/>
      <c r="K8" s="6"/>
      <c r="M8" s="40">
        <f>I15</f>
        <v>9.3863259350959414</v>
      </c>
      <c r="N8" s="43">
        <f t="dataTable" ref="N8:T8" dt2D="0" dtr="1" r1="D17" ca="1"/>
        <v>9.0534057830046848</v>
      </c>
      <c r="O8" s="43">
        <v>9.1643791670351042</v>
      </c>
      <c r="P8" s="43">
        <v>9.2753525510655237</v>
      </c>
      <c r="Q8" s="43">
        <v>9.3863259350959414</v>
      </c>
      <c r="R8" s="43">
        <v>9.4972993191263608</v>
      </c>
      <c r="S8" s="43">
        <v>9.6082727031567767</v>
      </c>
      <c r="T8" s="44">
        <v>9.7192460871871944</v>
      </c>
    </row>
    <row r="9" spans="1:20" ht="30" x14ac:dyDescent="0.25">
      <c r="B9" s="4"/>
      <c r="C9" s="9" t="s">
        <v>8</v>
      </c>
      <c r="D9" s="10" t="s">
        <v>9</v>
      </c>
      <c r="E9" s="10" t="s">
        <v>50</v>
      </c>
      <c r="F9" s="10" t="s">
        <v>10</v>
      </c>
      <c r="G9" s="10" t="s">
        <v>11</v>
      </c>
      <c r="H9" s="5"/>
      <c r="I9" s="5"/>
      <c r="J9" s="5"/>
      <c r="K9" s="6"/>
      <c r="M9" s="4"/>
      <c r="N9" s="5"/>
      <c r="O9" s="5"/>
      <c r="P9" s="5"/>
      <c r="Q9" s="5"/>
      <c r="R9" s="5"/>
      <c r="S9" s="5"/>
      <c r="T9" s="6"/>
    </row>
    <row r="10" spans="1:20" x14ac:dyDescent="0.25">
      <c r="B10" s="4"/>
      <c r="C10" s="9" t="s">
        <v>20</v>
      </c>
      <c r="D10" s="11">
        <v>3777.6</v>
      </c>
      <c r="E10" s="11"/>
      <c r="F10" s="11">
        <f>D10+(E10*5)</f>
        <v>3777.6</v>
      </c>
      <c r="G10" s="11">
        <f>D10+(10*E10)</f>
        <v>3777.6</v>
      </c>
      <c r="H10" s="5"/>
      <c r="I10" s="5"/>
      <c r="J10" s="5"/>
      <c r="K10" s="6"/>
      <c r="M10" s="4" t="s">
        <v>79</v>
      </c>
      <c r="N10" s="5"/>
      <c r="O10" s="5"/>
      <c r="P10" s="5"/>
      <c r="Q10" s="5"/>
      <c r="R10" s="5"/>
      <c r="S10" s="5"/>
      <c r="T10" s="6"/>
    </row>
    <row r="11" spans="1:20" x14ac:dyDescent="0.25">
      <c r="B11" s="4"/>
      <c r="C11" s="9" t="s">
        <v>21</v>
      </c>
      <c r="D11" s="11">
        <v>6000</v>
      </c>
      <c r="E11" s="11">
        <v>400</v>
      </c>
      <c r="F11" s="11">
        <f t="shared" ref="F11:F15" si="0">D11+(E11*5)</f>
        <v>8000</v>
      </c>
      <c r="G11" s="11">
        <f t="shared" ref="G11:G15" si="1">D11+(10*E11)</f>
        <v>10000</v>
      </c>
      <c r="H11" s="5"/>
      <c r="I11" s="5"/>
      <c r="J11" s="5"/>
      <c r="K11" s="6"/>
      <c r="M11" s="4"/>
      <c r="N11" s="38">
        <v>-0.15</v>
      </c>
      <c r="O11" s="38">
        <v>-0.1</v>
      </c>
      <c r="P11" s="38">
        <v>-0.05</v>
      </c>
      <c r="Q11" s="38">
        <v>0</v>
      </c>
      <c r="R11" s="38">
        <v>0.05</v>
      </c>
      <c r="S11" s="38">
        <v>0.1</v>
      </c>
      <c r="T11" s="39">
        <v>0.15</v>
      </c>
    </row>
    <row r="12" spans="1:20" x14ac:dyDescent="0.25">
      <c r="B12" s="4"/>
      <c r="C12" s="9" t="s">
        <v>22</v>
      </c>
      <c r="D12" s="11">
        <v>21000</v>
      </c>
      <c r="E12" s="11"/>
      <c r="F12" s="11">
        <f t="shared" si="0"/>
        <v>21000</v>
      </c>
      <c r="G12" s="11">
        <f t="shared" si="1"/>
        <v>21000</v>
      </c>
      <c r="H12" s="5"/>
      <c r="I12" s="5"/>
      <c r="J12" s="5"/>
      <c r="K12" s="6"/>
      <c r="M12" s="40">
        <f>I15</f>
        <v>9.3863259350959414</v>
      </c>
      <c r="N12" s="43">
        <f t="dataTable" ref="N12:T12" dt2D="0" dtr="1" r1="E6" ca="1"/>
        <v>8.3398143071889628</v>
      </c>
      <c r="O12" s="43">
        <v>8.6886515164912907</v>
      </c>
      <c r="P12" s="43">
        <v>9.0374887257936152</v>
      </c>
      <c r="Q12" s="43">
        <v>9.3863259350959414</v>
      </c>
      <c r="R12" s="43">
        <v>9.7351631443982676</v>
      </c>
      <c r="S12" s="43">
        <v>10.084000353700594</v>
      </c>
      <c r="T12" s="44">
        <v>10.432837563002918</v>
      </c>
    </row>
    <row r="13" spans="1:20" ht="15.75" thickBot="1" x14ac:dyDescent="0.3">
      <c r="B13" s="4"/>
      <c r="C13" s="9" t="s">
        <v>23</v>
      </c>
      <c r="D13" s="11">
        <v>7600</v>
      </c>
      <c r="E13" s="11"/>
      <c r="F13" s="11">
        <f t="shared" si="0"/>
        <v>7600</v>
      </c>
      <c r="G13" s="11">
        <f t="shared" si="1"/>
        <v>7600</v>
      </c>
      <c r="H13" s="5"/>
      <c r="I13" s="5"/>
      <c r="J13" s="5"/>
      <c r="K13" s="6"/>
      <c r="M13" s="18"/>
      <c r="N13" s="19"/>
      <c r="O13" s="19"/>
      <c r="P13" s="19"/>
      <c r="Q13" s="19"/>
      <c r="R13" s="19"/>
      <c r="S13" s="19"/>
      <c r="T13" s="20"/>
    </row>
    <row r="14" spans="1:20" x14ac:dyDescent="0.25">
      <c r="B14" s="4"/>
      <c r="C14" s="9" t="s">
        <v>14</v>
      </c>
      <c r="D14" s="11">
        <v>8320</v>
      </c>
      <c r="E14" s="11"/>
      <c r="F14" s="11">
        <f t="shared" si="0"/>
        <v>8320</v>
      </c>
      <c r="G14" s="11">
        <f t="shared" si="1"/>
        <v>8320</v>
      </c>
      <c r="H14" s="8" t="s">
        <v>15</v>
      </c>
      <c r="I14" s="14">
        <f>((C4*1000/0.774)*(C7/1000))/(C4*1000)*100</f>
        <v>10.58139534883721</v>
      </c>
      <c r="J14" s="8" t="s">
        <v>76</v>
      </c>
      <c r="K14" s="6"/>
    </row>
    <row r="15" spans="1:20" x14ac:dyDescent="0.25">
      <c r="B15" s="4"/>
      <c r="C15" s="9" t="s">
        <v>16</v>
      </c>
      <c r="D15" s="11"/>
      <c r="E15" s="11">
        <f>(C4*1000)/C5*(C6/100)</f>
        <v>14679.069767441861</v>
      </c>
      <c r="F15" s="11">
        <f t="shared" si="0"/>
        <v>73395.348837209298</v>
      </c>
      <c r="G15" s="11">
        <f t="shared" si="1"/>
        <v>146790.6976744186</v>
      </c>
      <c r="H15" s="8" t="s">
        <v>17</v>
      </c>
      <c r="I15" s="14">
        <f>(G16/10)/(C4*1000)*100</f>
        <v>9.3863259350959414</v>
      </c>
      <c r="J15" s="8" t="s">
        <v>76</v>
      </c>
      <c r="K15" s="6"/>
      <c r="N15" s="5"/>
      <c r="O15" s="5"/>
      <c r="P15" s="5"/>
      <c r="Q15" s="5"/>
      <c r="R15" s="5"/>
      <c r="S15" s="5"/>
      <c r="T15" s="5"/>
    </row>
    <row r="16" spans="1:20" x14ac:dyDescent="0.25">
      <c r="B16" s="4"/>
      <c r="C16" s="16" t="s">
        <v>18</v>
      </c>
      <c r="D16" s="17">
        <f>(SUM(D10:D15))*(1+D17)</f>
        <v>46697.599999999999</v>
      </c>
      <c r="E16" s="17">
        <f>SUM(E10:E15)</f>
        <v>15079.069767441861</v>
      </c>
      <c r="F16" s="17">
        <f>D16+(E16*5)</f>
        <v>122092.94883720929</v>
      </c>
      <c r="G16" s="17">
        <f>D16+(10*E16)</f>
        <v>197488.2976744186</v>
      </c>
      <c r="H16" s="5"/>
      <c r="I16" s="5"/>
      <c r="J16" s="5"/>
      <c r="K16" s="6"/>
      <c r="M16" s="5"/>
      <c r="N16" s="38"/>
      <c r="O16" s="38"/>
      <c r="P16" s="38"/>
      <c r="Q16" s="38"/>
      <c r="R16" s="38"/>
      <c r="S16" s="38"/>
      <c r="T16" s="38"/>
    </row>
    <row r="17" spans="2:21" x14ac:dyDescent="0.25">
      <c r="B17" s="4"/>
      <c r="D17" s="47"/>
      <c r="H17" s="5"/>
      <c r="I17" s="5"/>
      <c r="J17" s="5"/>
      <c r="K17" s="6"/>
      <c r="M17" s="43"/>
      <c r="N17" s="5"/>
      <c r="O17" s="5"/>
      <c r="P17" s="5"/>
      <c r="Q17" s="5"/>
      <c r="R17" s="5"/>
      <c r="S17" s="5"/>
      <c r="T17" s="5"/>
    </row>
    <row r="18" spans="2:21" x14ac:dyDescent="0.25">
      <c r="B18" s="4"/>
      <c r="H18" s="5"/>
      <c r="I18" s="5"/>
      <c r="J18" s="5"/>
      <c r="K18" s="6"/>
      <c r="M18" s="5"/>
      <c r="N18" s="5"/>
      <c r="O18" s="5"/>
      <c r="P18" s="5"/>
      <c r="Q18" s="5"/>
      <c r="R18" s="5"/>
      <c r="S18" s="5"/>
      <c r="T18" s="5"/>
    </row>
    <row r="19" spans="2:21" ht="15.75" thickBot="1" x14ac:dyDescent="0.3">
      <c r="B19" s="18"/>
      <c r="C19" s="19"/>
      <c r="D19" s="19"/>
      <c r="E19" s="19"/>
      <c r="F19" s="19"/>
      <c r="G19" s="19"/>
      <c r="H19" s="19"/>
      <c r="I19" s="19"/>
      <c r="J19" s="19"/>
      <c r="K19" s="20"/>
      <c r="M19" s="5"/>
      <c r="N19" s="5"/>
      <c r="O19" s="5"/>
      <c r="P19" s="5"/>
      <c r="Q19" s="5"/>
      <c r="R19" s="5"/>
      <c r="S19" s="5"/>
      <c r="T19" s="5"/>
    </row>
    <row r="20" spans="2:21" x14ac:dyDescent="0.25">
      <c r="U20" s="5"/>
    </row>
    <row r="21" spans="2:21" x14ac:dyDescent="0.25">
      <c r="U21" s="5"/>
    </row>
    <row r="22" spans="2:21" x14ac:dyDescent="0.25">
      <c r="U22" s="5"/>
    </row>
    <row r="23" spans="2:21" x14ac:dyDescent="0.25">
      <c r="U23" s="5"/>
    </row>
  </sheetData>
  <pageMargins left="0.7" right="0.7" top="0.78740157499999996" bottom="0.78740157499999996" header="0.3" footer="0.3"/>
  <pageSetup paperSize="9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O23" sqref="O23"/>
    </sheetView>
  </sheetViews>
  <sheetFormatPr baseColWidth="10" defaultRowHeight="15" x14ac:dyDescent="0.25"/>
  <cols>
    <col min="1" max="1" width="28.42578125" customWidth="1"/>
    <col min="2" max="2" width="16.28515625" customWidth="1"/>
  </cols>
  <sheetData>
    <row r="1" spans="1:14" x14ac:dyDescent="0.25">
      <c r="A1" t="s">
        <v>47</v>
      </c>
      <c r="B1" s="22" t="s">
        <v>48</v>
      </c>
      <c r="C1" s="31"/>
    </row>
    <row r="2" spans="1:14" x14ac:dyDescent="0.25">
      <c r="A2" t="s">
        <v>24</v>
      </c>
      <c r="B2" s="22">
        <v>70</v>
      </c>
    </row>
    <row r="3" spans="1:14" x14ac:dyDescent="0.25">
      <c r="A3" t="s">
        <v>25</v>
      </c>
      <c r="B3" s="22">
        <f>B6/B2</f>
        <v>1500</v>
      </c>
    </row>
    <row r="4" spans="1:14" x14ac:dyDescent="0.25">
      <c r="A4" t="s">
        <v>26</v>
      </c>
      <c r="B4" s="22">
        <f>B6-B5</f>
        <v>78750</v>
      </c>
    </row>
    <row r="5" spans="1:14" x14ac:dyDescent="0.25">
      <c r="A5" t="s">
        <v>27</v>
      </c>
      <c r="B5" s="22">
        <f>B6*(B7/100)</f>
        <v>26250</v>
      </c>
    </row>
    <row r="6" spans="1:14" x14ac:dyDescent="0.25">
      <c r="A6" t="s">
        <v>28</v>
      </c>
      <c r="B6" s="22">
        <v>105000</v>
      </c>
    </row>
    <row r="7" spans="1:14" x14ac:dyDescent="0.25">
      <c r="A7" t="s">
        <v>29</v>
      </c>
      <c r="B7" s="22">
        <v>25</v>
      </c>
    </row>
    <row r="9" spans="1:14" x14ac:dyDescent="0.25">
      <c r="C9" s="23" t="s">
        <v>30</v>
      </c>
      <c r="D9" s="23" t="s">
        <v>31</v>
      </c>
      <c r="E9" s="23" t="s">
        <v>32</v>
      </c>
      <c r="F9" s="23" t="s">
        <v>33</v>
      </c>
      <c r="G9" s="23" t="s">
        <v>34</v>
      </c>
      <c r="H9" s="23" t="s">
        <v>35</v>
      </c>
      <c r="I9" s="23" t="s">
        <v>36</v>
      </c>
      <c r="J9" s="23" t="s">
        <v>37</v>
      </c>
      <c r="K9" s="23" t="s">
        <v>38</v>
      </c>
      <c r="L9" s="23" t="s">
        <v>39</v>
      </c>
      <c r="M9" s="23" t="s">
        <v>40</v>
      </c>
      <c r="N9" s="23" t="s">
        <v>41</v>
      </c>
    </row>
    <row r="10" spans="1:14" x14ac:dyDescent="0.25">
      <c r="A10" s="24" t="s">
        <v>26</v>
      </c>
      <c r="B10" s="25"/>
      <c r="C10" s="26">
        <f>(($B$4+C11)*C12)</f>
        <v>13833.750000000002</v>
      </c>
      <c r="D10" s="26">
        <f t="shared" ref="D10:N10" si="0">(($B$4+D11)*D12)</f>
        <v>12206.25</v>
      </c>
      <c r="E10" s="26">
        <f t="shared" si="0"/>
        <v>10578.75</v>
      </c>
      <c r="F10" s="26">
        <f t="shared" si="0"/>
        <v>6510</v>
      </c>
      <c r="G10" s="26">
        <f t="shared" si="0"/>
        <v>3255</v>
      </c>
      <c r="H10" s="26">
        <f t="shared" si="0"/>
        <v>1082.2874999999999</v>
      </c>
      <c r="I10" s="26">
        <f t="shared" si="0"/>
        <v>1082.2874999999999</v>
      </c>
      <c r="J10" s="26">
        <f t="shared" si="0"/>
        <v>1082.2874999999999</v>
      </c>
      <c r="K10" s="26">
        <f t="shared" si="0"/>
        <v>2441.25</v>
      </c>
      <c r="L10" s="26">
        <f t="shared" si="0"/>
        <v>6510</v>
      </c>
      <c r="M10" s="26">
        <f t="shared" si="0"/>
        <v>9765</v>
      </c>
      <c r="N10" s="26">
        <f t="shared" si="0"/>
        <v>13020</v>
      </c>
    </row>
    <row r="11" spans="1:14" x14ac:dyDescent="0.25">
      <c r="A11" s="24" t="s">
        <v>27</v>
      </c>
      <c r="B11" s="25"/>
      <c r="C11" s="26">
        <f>B5*0.1</f>
        <v>2625</v>
      </c>
      <c r="D11" s="26">
        <f>B5*0.1</f>
        <v>2625</v>
      </c>
      <c r="E11" s="26">
        <f>B5*0.1</f>
        <v>2625</v>
      </c>
      <c r="F11" s="26">
        <f>B5*0.1</f>
        <v>2625</v>
      </c>
      <c r="G11" s="26">
        <f>B5*0.1</f>
        <v>2625</v>
      </c>
      <c r="H11" s="26">
        <f>B5*0.1</f>
        <v>2625</v>
      </c>
      <c r="I11" s="26">
        <f>B5*0.1</f>
        <v>2625</v>
      </c>
      <c r="J11" s="26">
        <f>B5*0.1</f>
        <v>2625</v>
      </c>
      <c r="K11" s="26">
        <f>B5*0.1</f>
        <v>2625</v>
      </c>
      <c r="L11" s="26">
        <f>B5*0.1</f>
        <v>2625</v>
      </c>
      <c r="M11" s="26">
        <f>B5*0.1</f>
        <v>2625</v>
      </c>
      <c r="N11" s="26">
        <f>B5*0.1</f>
        <v>2625</v>
      </c>
    </row>
    <row r="12" spans="1:14" x14ac:dyDescent="0.25">
      <c r="A12" s="27" t="s">
        <v>42</v>
      </c>
      <c r="B12" s="25"/>
      <c r="C12" s="28">
        <v>0.17</v>
      </c>
      <c r="D12" s="28">
        <v>0.15</v>
      </c>
      <c r="E12" s="28">
        <v>0.13</v>
      </c>
      <c r="F12" s="28">
        <v>0.08</v>
      </c>
      <c r="G12" s="28">
        <v>0.04</v>
      </c>
      <c r="H12" s="28">
        <v>1.3299999999999999E-2</v>
      </c>
      <c r="I12" s="28">
        <v>1.3299999999999999E-2</v>
      </c>
      <c r="J12" s="28">
        <v>1.3299999999999999E-2</v>
      </c>
      <c r="K12" s="28">
        <v>0.03</v>
      </c>
      <c r="L12" s="28">
        <v>0.08</v>
      </c>
      <c r="M12" s="28">
        <v>0.12</v>
      </c>
      <c r="N12" s="28">
        <v>0.16</v>
      </c>
    </row>
    <row r="13" spans="1:14" x14ac:dyDescent="0.25">
      <c r="A13" s="24" t="s">
        <v>43</v>
      </c>
      <c r="B13" s="25"/>
      <c r="C13" s="28">
        <f>(C10/(31*24))</f>
        <v>18.593750000000004</v>
      </c>
      <c r="D13" s="28">
        <f>(D10/(28*24))</f>
        <v>18.1640625</v>
      </c>
      <c r="E13" s="28">
        <f>(E10/(30*24))</f>
        <v>14.692708333333334</v>
      </c>
      <c r="F13" s="28">
        <f>(F10/(31*24))</f>
        <v>8.75</v>
      </c>
      <c r="G13" s="28">
        <f>(G10/(30*24))</f>
        <v>4.520833333333333</v>
      </c>
      <c r="H13" s="28">
        <f>(H10/(30*24))</f>
        <v>1.5031770833333331</v>
      </c>
      <c r="I13" s="28">
        <f>(I10/(31*24))</f>
        <v>1.4546874999999999</v>
      </c>
      <c r="J13" s="28">
        <f>(J10/(31*24))</f>
        <v>1.4546874999999999</v>
      </c>
      <c r="K13" s="28">
        <f>(K10/(30*24))</f>
        <v>3.390625</v>
      </c>
      <c r="L13" s="28">
        <f>(L10/(31*24))</f>
        <v>8.75</v>
      </c>
      <c r="M13" s="28">
        <f>(M10/(30*24))</f>
        <v>13.5625</v>
      </c>
      <c r="N13" s="28">
        <f>(N10/(31*24))</f>
        <v>17.5</v>
      </c>
    </row>
    <row r="15" spans="1:14" x14ac:dyDescent="0.25">
      <c r="A15" s="29" t="s">
        <v>44</v>
      </c>
      <c r="B15" s="30">
        <f>B2</f>
        <v>70</v>
      </c>
      <c r="C15" s="28">
        <f>C13</f>
        <v>18.593750000000004</v>
      </c>
      <c r="D15" s="28">
        <f>D13</f>
        <v>18.1640625</v>
      </c>
      <c r="E15" s="28">
        <f>N13</f>
        <v>17.5</v>
      </c>
      <c r="F15" s="28">
        <f>E13</f>
        <v>14.692708333333334</v>
      </c>
      <c r="G15" s="28">
        <f>M13</f>
        <v>13.5625</v>
      </c>
      <c r="H15" s="28">
        <f>F13</f>
        <v>8.75</v>
      </c>
      <c r="I15" s="28">
        <f>L13</f>
        <v>8.75</v>
      </c>
      <c r="J15" s="28">
        <f>G13</f>
        <v>4.520833333333333</v>
      </c>
      <c r="K15" s="28">
        <f>K13</f>
        <v>3.390625</v>
      </c>
      <c r="L15" s="28">
        <f>H13</f>
        <v>1.5031770833333331</v>
      </c>
      <c r="M15" s="28">
        <f>I13</f>
        <v>1.4546874999999999</v>
      </c>
      <c r="N15" s="28">
        <f>J13</f>
        <v>1.4546874999999999</v>
      </c>
    </row>
    <row r="16" spans="1:14" x14ac:dyDescent="0.25">
      <c r="A16" s="29" t="s">
        <v>45</v>
      </c>
      <c r="B16" s="30">
        <v>1</v>
      </c>
      <c r="C16" s="30">
        <v>744</v>
      </c>
      <c r="D16" s="30">
        <v>1416</v>
      </c>
      <c r="E16" s="30">
        <v>2160</v>
      </c>
      <c r="F16" s="30">
        <v>2880</v>
      </c>
      <c r="G16" s="30">
        <v>3624</v>
      </c>
      <c r="H16" s="30">
        <v>4344</v>
      </c>
      <c r="I16" s="30">
        <v>5088</v>
      </c>
      <c r="J16" s="30">
        <v>5832</v>
      </c>
      <c r="K16" s="30">
        <v>6552</v>
      </c>
      <c r="L16" s="30">
        <v>7296</v>
      </c>
      <c r="M16" s="30">
        <v>8016</v>
      </c>
      <c r="N16" s="30">
        <v>8760</v>
      </c>
    </row>
    <row r="17" spans="1:12" x14ac:dyDescent="0.25">
      <c r="A17" s="29" t="s">
        <v>46</v>
      </c>
      <c r="B17" s="22">
        <v>6.5</v>
      </c>
      <c r="C17" s="22">
        <v>6.5</v>
      </c>
      <c r="D17" s="22">
        <v>6.5</v>
      </c>
      <c r="E17" s="22">
        <v>6.5</v>
      </c>
      <c r="F17" s="22">
        <v>6.5</v>
      </c>
      <c r="G17" s="22">
        <v>6.5</v>
      </c>
      <c r="H17" s="22">
        <v>6.5</v>
      </c>
      <c r="I17" s="22">
        <v>6.5</v>
      </c>
      <c r="J17" s="22">
        <v>6.5</v>
      </c>
      <c r="K17" s="22"/>
      <c r="L17" s="22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6"/>
  <sheetViews>
    <sheetView topLeftCell="L21" workbookViewId="0">
      <selection activeCell="H34" sqref="H34"/>
    </sheetView>
  </sheetViews>
  <sheetFormatPr baseColWidth="10" defaultRowHeight="15" x14ac:dyDescent="0.25"/>
  <cols>
    <col min="1" max="1" width="10.5703125" customWidth="1"/>
    <col min="2" max="2" width="17.85546875" bestFit="1" customWidth="1"/>
    <col min="3" max="3" width="23.7109375" bestFit="1" customWidth="1"/>
    <col min="4" max="4" width="14.42578125" bestFit="1" customWidth="1"/>
    <col min="8" max="8" width="36.140625" bestFit="1" customWidth="1"/>
    <col min="13" max="13" width="18.7109375" bestFit="1" customWidth="1"/>
  </cols>
  <sheetData>
    <row r="2" spans="1:20" ht="15.75" thickBot="1" x14ac:dyDescent="0.3">
      <c r="A2" s="5"/>
      <c r="C2" s="5"/>
    </row>
    <row r="3" spans="1:20" ht="18.75" thickBot="1" x14ac:dyDescent="0.3">
      <c r="B3" s="1" t="s">
        <v>51</v>
      </c>
      <c r="C3" s="36" t="s">
        <v>61</v>
      </c>
      <c r="D3" s="2"/>
      <c r="E3" s="2"/>
      <c r="F3" s="2"/>
      <c r="G3" s="2"/>
      <c r="H3" s="2"/>
      <c r="I3" s="2"/>
      <c r="J3" s="2"/>
      <c r="K3" s="3"/>
      <c r="M3" s="37" t="s">
        <v>77</v>
      </c>
      <c r="N3" s="2"/>
      <c r="O3" s="2"/>
      <c r="P3" s="2"/>
      <c r="Q3" s="2"/>
      <c r="R3" s="2"/>
      <c r="S3" s="2"/>
      <c r="T3" s="3"/>
    </row>
    <row r="4" spans="1:20" x14ac:dyDescent="0.25">
      <c r="B4" s="4"/>
      <c r="C4" s="5"/>
      <c r="D4" s="5"/>
      <c r="E4" s="5"/>
      <c r="F4" s="5"/>
      <c r="G4" s="5"/>
      <c r="H4" s="5"/>
      <c r="I4" s="5"/>
      <c r="J4" s="5"/>
      <c r="K4" s="6"/>
      <c r="M4" s="4"/>
      <c r="N4" s="38">
        <v>-0.15</v>
      </c>
      <c r="O4" s="38">
        <v>-0.1</v>
      </c>
      <c r="P4" s="38">
        <v>-0.05</v>
      </c>
      <c r="Q4" s="38">
        <v>0</v>
      </c>
      <c r="R4" s="38">
        <v>0.05</v>
      </c>
      <c r="S4" s="38">
        <v>0.1</v>
      </c>
      <c r="T4" s="39">
        <v>0.15</v>
      </c>
    </row>
    <row r="5" spans="1:20" x14ac:dyDescent="0.25">
      <c r="B5" s="7" t="s">
        <v>60</v>
      </c>
      <c r="C5" s="21">
        <v>245.74</v>
      </c>
      <c r="D5" s="8" t="s">
        <v>2</v>
      </c>
      <c r="E5" s="5"/>
      <c r="F5" s="5"/>
      <c r="G5" s="5"/>
      <c r="H5" s="5"/>
      <c r="I5" s="5"/>
      <c r="J5" s="5"/>
      <c r="K5" s="6"/>
      <c r="M5" s="40">
        <f>I16</f>
        <v>10.041711026615971</v>
      </c>
      <c r="N5" s="43">
        <f t="dataTable" ref="N5:T5" dt2D="0" dtr="1" r1="E10" ca="1"/>
        <v>10.253764258555135</v>
      </c>
      <c r="O5" s="43">
        <v>10.183079847908745</v>
      </c>
      <c r="P5" s="43">
        <v>10.112395437262357</v>
      </c>
      <c r="Q5" s="43">
        <v>10.041711026615971</v>
      </c>
      <c r="R5" s="43">
        <v>9.9710266159695813</v>
      </c>
      <c r="S5" s="43">
        <v>9.9003422053231933</v>
      </c>
      <c r="T5" s="44">
        <v>9.8296577946768053</v>
      </c>
    </row>
    <row r="6" spans="1:20" x14ac:dyDescent="0.25">
      <c r="B6" s="7" t="s">
        <v>67</v>
      </c>
      <c r="C6" s="21">
        <v>210.4</v>
      </c>
      <c r="D6" s="5" t="s">
        <v>2</v>
      </c>
      <c r="E6" s="42"/>
      <c r="F6" s="5"/>
      <c r="G6" s="5"/>
      <c r="H6" s="5"/>
      <c r="I6" s="5"/>
      <c r="J6" s="5"/>
      <c r="K6" s="6"/>
      <c r="M6" s="4"/>
      <c r="N6" s="5"/>
      <c r="O6" s="5"/>
      <c r="P6" s="5"/>
      <c r="Q6" s="5"/>
      <c r="R6" s="5"/>
      <c r="S6" s="5"/>
      <c r="T6" s="6"/>
    </row>
    <row r="7" spans="1:20" x14ac:dyDescent="0.25">
      <c r="B7" s="7" t="s">
        <v>4</v>
      </c>
      <c r="C7" s="21">
        <f>6*(1+E7)</f>
        <v>6</v>
      </c>
      <c r="D7" s="8" t="s">
        <v>5</v>
      </c>
      <c r="E7" s="41"/>
      <c r="F7" s="5"/>
      <c r="G7" s="5"/>
      <c r="H7" s="5"/>
      <c r="I7" s="5"/>
      <c r="J7" s="5"/>
      <c r="K7" s="6"/>
      <c r="M7" s="4" t="s">
        <v>55</v>
      </c>
      <c r="N7" s="5"/>
      <c r="O7" s="5"/>
      <c r="P7" s="5"/>
      <c r="Q7" s="5"/>
      <c r="R7" s="5"/>
      <c r="S7" s="5"/>
      <c r="T7" s="6"/>
    </row>
    <row r="8" spans="1:20" x14ac:dyDescent="0.25">
      <c r="B8" s="7" t="s">
        <v>6</v>
      </c>
      <c r="C8" s="21">
        <v>81.900000000000006</v>
      </c>
      <c r="D8" s="8" t="s">
        <v>7</v>
      </c>
      <c r="E8" s="5"/>
      <c r="F8" s="5"/>
      <c r="G8" s="5"/>
      <c r="H8" s="5"/>
      <c r="I8" s="5"/>
      <c r="J8" s="5"/>
      <c r="K8" s="6"/>
      <c r="M8" s="4"/>
      <c r="N8" s="38">
        <v>-0.15</v>
      </c>
      <c r="O8" s="38">
        <v>-0.1</v>
      </c>
      <c r="P8" s="38">
        <v>-0.05</v>
      </c>
      <c r="Q8" s="38">
        <v>0</v>
      </c>
      <c r="R8" s="38">
        <v>0.05</v>
      </c>
      <c r="S8" s="38">
        <v>0.1</v>
      </c>
      <c r="T8" s="39">
        <v>0.15</v>
      </c>
    </row>
    <row r="9" spans="1:20" x14ac:dyDescent="0.25">
      <c r="B9" s="35" t="s">
        <v>56</v>
      </c>
      <c r="C9" s="21">
        <v>5.2</v>
      </c>
      <c r="D9" s="34" t="s">
        <v>57</v>
      </c>
      <c r="E9" s="5"/>
      <c r="F9" s="5"/>
      <c r="G9" s="5"/>
      <c r="H9" s="5"/>
      <c r="I9" s="5"/>
      <c r="J9" s="5"/>
      <c r="K9" s="6"/>
      <c r="M9" s="40">
        <f>I16</f>
        <v>10.041711026615971</v>
      </c>
      <c r="N9" s="43">
        <f t="dataTable" ref="N9:T9" dt2D="0" dtr="1" r1="E11" ca="1"/>
        <v>10.253764258555135</v>
      </c>
      <c r="O9" s="43">
        <v>10.183079847908745</v>
      </c>
      <c r="P9" s="43">
        <v>10.112395437262357</v>
      </c>
      <c r="Q9" s="43">
        <v>10.041711026615971</v>
      </c>
      <c r="R9" s="43">
        <v>9.9710266159695813</v>
      </c>
      <c r="S9" s="43">
        <v>9.9003422053231933</v>
      </c>
      <c r="T9" s="44">
        <v>9.8296577946768053</v>
      </c>
    </row>
    <row r="10" spans="1:20" x14ac:dyDescent="0.25">
      <c r="B10" s="35" t="s">
        <v>58</v>
      </c>
      <c r="C10" s="21">
        <f>5500*(1+E10)</f>
        <v>5500</v>
      </c>
      <c r="D10" s="34" t="s">
        <v>59</v>
      </c>
      <c r="E10" s="41"/>
      <c r="F10" s="5"/>
      <c r="G10" s="5"/>
      <c r="H10" s="5"/>
      <c r="I10" s="5"/>
      <c r="J10" s="5"/>
      <c r="K10" s="6"/>
      <c r="M10" s="4"/>
      <c r="N10" s="5"/>
      <c r="O10" s="5"/>
      <c r="P10" s="5"/>
      <c r="Q10" s="5"/>
      <c r="R10" s="5"/>
      <c r="S10" s="5"/>
      <c r="T10" s="6"/>
    </row>
    <row r="11" spans="1:20" x14ac:dyDescent="0.25">
      <c r="B11" s="4" t="s">
        <v>55</v>
      </c>
      <c r="C11" s="21">
        <f>13*(1+E11)</f>
        <v>13</v>
      </c>
      <c r="D11" s="34" t="s">
        <v>5</v>
      </c>
      <c r="E11" s="41"/>
      <c r="F11" s="5"/>
      <c r="G11" s="5"/>
      <c r="H11" s="5"/>
      <c r="I11" s="5"/>
      <c r="J11" s="5"/>
      <c r="K11" s="6"/>
      <c r="M11" s="4" t="s">
        <v>78</v>
      </c>
      <c r="N11" s="5"/>
      <c r="O11" s="5"/>
      <c r="P11" s="5"/>
      <c r="Q11" s="5"/>
      <c r="R11" s="5"/>
      <c r="S11" s="5"/>
      <c r="T11" s="6"/>
    </row>
    <row r="12" spans="1:20" x14ac:dyDescent="0.25">
      <c r="B12" s="4"/>
      <c r="C12" s="5"/>
      <c r="D12" s="5"/>
      <c r="E12" s="5"/>
      <c r="F12" s="5"/>
      <c r="G12" s="5"/>
      <c r="H12" s="5"/>
      <c r="I12" s="5"/>
      <c r="J12" s="5"/>
      <c r="K12" s="6"/>
      <c r="M12" s="4"/>
      <c r="N12" s="38">
        <v>-0.15</v>
      </c>
      <c r="O12" s="38">
        <v>-0.1</v>
      </c>
      <c r="P12" s="38">
        <v>-0.05</v>
      </c>
      <c r="Q12" s="38">
        <v>0</v>
      </c>
      <c r="R12" s="38">
        <v>0.05</v>
      </c>
      <c r="S12" s="38">
        <v>0.1</v>
      </c>
      <c r="T12" s="39">
        <v>0.15</v>
      </c>
    </row>
    <row r="13" spans="1:20" x14ac:dyDescent="0.25">
      <c r="B13" s="4"/>
      <c r="C13" s="5"/>
      <c r="D13" s="5"/>
      <c r="E13" s="5"/>
      <c r="F13" s="5"/>
      <c r="G13" s="5"/>
      <c r="H13" s="5"/>
      <c r="I13" s="5"/>
      <c r="J13" s="5"/>
      <c r="K13" s="6"/>
      <c r="M13" s="40">
        <f>I16</f>
        <v>10.041711026615971</v>
      </c>
      <c r="N13" s="43">
        <f t="dataTable" ref="N13:T13" dt2D="0" dtr="1" r1="D27"/>
        <v>9.4743802281368836</v>
      </c>
      <c r="O13" s="43">
        <v>9.66349049429658</v>
      </c>
      <c r="P13" s="43">
        <v>9.8526007604562729</v>
      </c>
      <c r="Q13" s="43">
        <v>10.041711026615971</v>
      </c>
      <c r="R13" s="43">
        <v>10.230821292775666</v>
      </c>
      <c r="S13" s="43">
        <v>10.41993155893536</v>
      </c>
      <c r="T13" s="44">
        <v>10.609041825095057</v>
      </c>
    </row>
    <row r="14" spans="1:20" x14ac:dyDescent="0.25">
      <c r="B14" s="4"/>
      <c r="C14" s="5"/>
      <c r="D14" s="5"/>
      <c r="E14" s="5"/>
      <c r="F14" s="5"/>
      <c r="G14" s="5"/>
      <c r="H14" s="5"/>
      <c r="I14" s="5"/>
      <c r="J14" s="5"/>
      <c r="K14" s="6"/>
      <c r="M14" s="4"/>
      <c r="N14" s="5"/>
      <c r="O14" s="5"/>
      <c r="P14" s="5"/>
      <c r="Q14" s="5"/>
      <c r="R14" s="5"/>
      <c r="S14" s="5"/>
      <c r="T14" s="6"/>
    </row>
    <row r="15" spans="1:20" x14ac:dyDescent="0.25">
      <c r="B15" s="4"/>
      <c r="C15" s="5"/>
      <c r="D15" s="5"/>
      <c r="E15" s="5"/>
      <c r="F15" s="5"/>
      <c r="G15" s="5"/>
      <c r="H15" s="8" t="s">
        <v>15</v>
      </c>
      <c r="I15" s="14">
        <f>((C5*1000/0.774)*(C8/1000))/(C5*1000)*100</f>
        <v>10.58139534883721</v>
      </c>
      <c r="J15" s="8" t="s">
        <v>76</v>
      </c>
      <c r="K15" s="6"/>
      <c r="M15" s="4" t="s">
        <v>79</v>
      </c>
      <c r="N15" s="5"/>
      <c r="O15" s="5"/>
      <c r="P15" s="5"/>
      <c r="Q15" s="5"/>
      <c r="R15" s="5"/>
      <c r="S15" s="5"/>
      <c r="T15" s="6"/>
    </row>
    <row r="16" spans="1:20" ht="30" x14ac:dyDescent="0.25">
      <c r="B16" s="4"/>
      <c r="C16" s="9" t="s">
        <v>8</v>
      </c>
      <c r="D16" s="10" t="s">
        <v>9</v>
      </c>
      <c r="E16" s="10" t="s">
        <v>50</v>
      </c>
      <c r="F16" s="10" t="s">
        <v>10</v>
      </c>
      <c r="G16" s="10" t="s">
        <v>11</v>
      </c>
      <c r="H16" s="8" t="s">
        <v>17</v>
      </c>
      <c r="I16" s="14">
        <f>((G26/10)/(C6*1000)*100)*(1+I17)</f>
        <v>10.041711026615971</v>
      </c>
      <c r="J16" s="8" t="s">
        <v>76</v>
      </c>
      <c r="K16" s="6"/>
      <c r="M16" s="4"/>
      <c r="N16" s="38">
        <v>-0.15</v>
      </c>
      <c r="O16" s="38">
        <v>-0.1</v>
      </c>
      <c r="P16" s="38">
        <v>-0.05</v>
      </c>
      <c r="Q16" s="38">
        <v>0</v>
      </c>
      <c r="R16" s="38">
        <v>0.05</v>
      </c>
      <c r="S16" s="38">
        <v>0.1</v>
      </c>
      <c r="T16" s="39">
        <v>0.15</v>
      </c>
    </row>
    <row r="17" spans="2:21" x14ac:dyDescent="0.25">
      <c r="B17" s="4"/>
      <c r="C17" s="9" t="s">
        <v>20</v>
      </c>
      <c r="D17" s="11">
        <v>3777.6</v>
      </c>
      <c r="E17" s="11"/>
      <c r="F17" s="11">
        <f>D17+(E17*5)</f>
        <v>3777.6</v>
      </c>
      <c r="G17" s="11">
        <f t="shared" ref="G17:G25" si="0">D17+(E17*10)</f>
        <v>3777.6</v>
      </c>
      <c r="H17" s="5"/>
      <c r="I17" s="42"/>
      <c r="J17" s="5"/>
      <c r="K17" s="6"/>
      <c r="M17" s="40">
        <f>I16</f>
        <v>10.041711026615971</v>
      </c>
      <c r="N17" s="43">
        <f t="dataTable" ref="N17:T17" dt2D="0" dtr="1" r1="E7" ca="1"/>
        <v>8.9905418250950575</v>
      </c>
      <c r="O17" s="43">
        <v>9.3409315589353614</v>
      </c>
      <c r="P17" s="43">
        <v>9.6913212927756653</v>
      </c>
      <c r="Q17" s="43">
        <v>10.041711026615971</v>
      </c>
      <c r="R17" s="43">
        <v>10.392100760456275</v>
      </c>
      <c r="S17" s="43">
        <v>10.742490494296581</v>
      </c>
      <c r="T17" s="44">
        <v>11.092880228136881</v>
      </c>
    </row>
    <row r="18" spans="2:21" ht="15.75" thickBot="1" x14ac:dyDescent="0.3">
      <c r="B18" s="4"/>
      <c r="C18" s="9" t="s">
        <v>21</v>
      </c>
      <c r="D18" s="11">
        <v>6000</v>
      </c>
      <c r="E18" s="11">
        <v>400</v>
      </c>
      <c r="F18" s="11">
        <f t="shared" ref="F18:F20" si="1">D18+(E18*5)</f>
        <v>8000</v>
      </c>
      <c r="G18" s="11">
        <f t="shared" si="0"/>
        <v>10000</v>
      </c>
      <c r="H18" s="5"/>
      <c r="I18" s="5"/>
      <c r="J18" s="5"/>
      <c r="K18" s="6"/>
      <c r="M18" s="18"/>
      <c r="N18" s="19"/>
      <c r="O18" s="19"/>
      <c r="P18" s="19"/>
      <c r="Q18" s="19"/>
      <c r="R18" s="19"/>
      <c r="S18" s="19"/>
      <c r="T18" s="20"/>
    </row>
    <row r="19" spans="2:21" x14ac:dyDescent="0.25">
      <c r="B19" s="4"/>
      <c r="C19" s="9" t="s">
        <v>22</v>
      </c>
      <c r="D19" s="11">
        <v>21000</v>
      </c>
      <c r="E19" s="11"/>
      <c r="F19" s="11">
        <f t="shared" si="1"/>
        <v>21000</v>
      </c>
      <c r="G19" s="11">
        <f t="shared" si="0"/>
        <v>21000</v>
      </c>
      <c r="H19" s="5"/>
      <c r="I19" s="5"/>
      <c r="J19" s="5"/>
      <c r="K19" s="6"/>
      <c r="N19" s="5"/>
      <c r="O19" s="5"/>
      <c r="P19" s="5"/>
      <c r="Q19" s="5"/>
      <c r="R19" s="5"/>
      <c r="S19" s="5"/>
      <c r="T19" s="5"/>
    </row>
    <row r="20" spans="2:21" x14ac:dyDescent="0.25">
      <c r="B20" s="4"/>
      <c r="C20" s="9" t="s">
        <v>23</v>
      </c>
      <c r="D20" s="11">
        <v>7600</v>
      </c>
      <c r="E20" s="11"/>
      <c r="F20" s="11">
        <f t="shared" si="1"/>
        <v>7600</v>
      </c>
      <c r="G20" s="11">
        <f t="shared" si="0"/>
        <v>7600</v>
      </c>
      <c r="H20" s="5"/>
      <c r="I20" s="5"/>
      <c r="J20" s="5"/>
      <c r="K20" s="6"/>
      <c r="M20" s="5"/>
      <c r="N20" s="38"/>
      <c r="O20" s="38"/>
      <c r="P20" s="38"/>
      <c r="Q20" s="38"/>
      <c r="R20" s="38"/>
      <c r="S20" s="38"/>
      <c r="T20" s="38"/>
      <c r="U20" s="5"/>
    </row>
    <row r="21" spans="2:21" x14ac:dyDescent="0.25">
      <c r="B21" s="4"/>
      <c r="C21" s="32" t="s">
        <v>52</v>
      </c>
      <c r="D21" s="33">
        <v>30000</v>
      </c>
      <c r="E21" s="33">
        <v>1000</v>
      </c>
      <c r="F21" s="33">
        <f>D21+(E21*5)</f>
        <v>35000</v>
      </c>
      <c r="G21" s="33">
        <f t="shared" si="0"/>
        <v>40000</v>
      </c>
      <c r="H21" s="5"/>
      <c r="I21" s="5"/>
      <c r="J21" s="5"/>
      <c r="K21" s="6"/>
      <c r="M21" s="43"/>
      <c r="N21" s="5"/>
      <c r="O21" s="5"/>
      <c r="P21" s="5"/>
      <c r="Q21" s="5"/>
      <c r="R21" s="5"/>
      <c r="S21" s="5"/>
      <c r="T21" s="5"/>
      <c r="U21" s="5"/>
    </row>
    <row r="22" spans="2:21" x14ac:dyDescent="0.25">
      <c r="B22" s="4"/>
      <c r="C22" s="32" t="s">
        <v>53</v>
      </c>
      <c r="D22" s="33">
        <v>3600</v>
      </c>
      <c r="E22" s="33"/>
      <c r="F22" s="33">
        <f>D22+(E22*5)</f>
        <v>3600</v>
      </c>
      <c r="G22" s="33">
        <f t="shared" si="0"/>
        <v>3600</v>
      </c>
      <c r="H22" s="5"/>
      <c r="I22" s="5"/>
      <c r="J22" s="5"/>
      <c r="K22" s="6"/>
      <c r="M22" s="5"/>
      <c r="N22" s="5"/>
      <c r="O22" s="5"/>
      <c r="P22" s="5"/>
      <c r="Q22" s="5"/>
      <c r="R22" s="5"/>
      <c r="S22" s="5"/>
      <c r="T22" s="5"/>
      <c r="U22" s="5"/>
    </row>
    <row r="23" spans="2:21" x14ac:dyDescent="0.25">
      <c r="B23" s="4"/>
      <c r="C23" s="9" t="s">
        <v>14</v>
      </c>
      <c r="D23" s="11">
        <v>7600</v>
      </c>
      <c r="E23" s="11"/>
      <c r="F23" s="11">
        <f>D23+(E23*5)</f>
        <v>7600</v>
      </c>
      <c r="G23" s="11">
        <f t="shared" si="0"/>
        <v>7600</v>
      </c>
      <c r="H23" s="5"/>
      <c r="I23" s="5"/>
      <c r="J23" s="5"/>
      <c r="K23" s="6"/>
      <c r="M23" s="5"/>
      <c r="N23" s="5"/>
      <c r="O23" s="5"/>
      <c r="P23" s="5"/>
      <c r="Q23" s="5"/>
      <c r="R23" s="5"/>
      <c r="S23" s="5"/>
      <c r="T23" s="5"/>
      <c r="U23" s="5"/>
    </row>
    <row r="24" spans="2:21" x14ac:dyDescent="0.25">
      <c r="B24" s="4"/>
      <c r="C24" s="9" t="s">
        <v>16</v>
      </c>
      <c r="D24" s="11"/>
      <c r="E24" s="11">
        <f>(C5*1000)*C7/100</f>
        <v>14744.4</v>
      </c>
      <c r="F24" s="11">
        <f>D24+(E24*5)</f>
        <v>73722</v>
      </c>
      <c r="G24" s="11">
        <f t="shared" si="0"/>
        <v>147444</v>
      </c>
      <c r="H24" s="5"/>
      <c r="I24" s="5"/>
      <c r="J24" s="5"/>
      <c r="K24" s="6"/>
    </row>
    <row r="25" spans="2:21" x14ac:dyDescent="0.25">
      <c r="B25" s="4"/>
      <c r="C25" s="32" t="s">
        <v>54</v>
      </c>
      <c r="D25" s="33"/>
      <c r="E25" s="33">
        <f>(C9*C10*0.8*C11/100)*(-1)</f>
        <v>-2974.4</v>
      </c>
      <c r="F25" s="33">
        <f>D25+(E25*5)</f>
        <v>-14872</v>
      </c>
      <c r="G25" s="33">
        <f t="shared" si="0"/>
        <v>-29744</v>
      </c>
      <c r="H25" s="5"/>
      <c r="I25" s="5"/>
      <c r="J25" s="5"/>
      <c r="K25" s="6"/>
    </row>
    <row r="26" spans="2:21" x14ac:dyDescent="0.25">
      <c r="B26" s="4"/>
      <c r="C26" s="16" t="s">
        <v>18</v>
      </c>
      <c r="D26" s="17">
        <f>(SUM(D17:D25))*(1+D27)</f>
        <v>79577.600000000006</v>
      </c>
      <c r="E26" s="17">
        <f>SUM(E17:E25)</f>
        <v>13170</v>
      </c>
      <c r="F26" s="17">
        <f>SUM(F17:F25)</f>
        <v>145427.6</v>
      </c>
      <c r="G26" s="17">
        <f>D26+(E26*10)</f>
        <v>211277.6</v>
      </c>
      <c r="H26" s="5"/>
      <c r="I26" s="5"/>
      <c r="J26" s="5"/>
      <c r="K26" s="6"/>
    </row>
    <row r="27" spans="2:21" x14ac:dyDescent="0.25">
      <c r="B27" s="4"/>
      <c r="C27" s="5"/>
      <c r="D27" s="41"/>
      <c r="E27" s="5"/>
      <c r="F27" s="5"/>
      <c r="G27" s="5"/>
      <c r="H27" s="5"/>
      <c r="I27" s="5"/>
      <c r="J27" s="5"/>
      <c r="K27" s="6"/>
    </row>
    <row r="28" spans="2:21" ht="15.75" thickBo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20"/>
    </row>
    <row r="30" spans="2:21" ht="15.75" thickBot="1" x14ac:dyDescent="0.3"/>
    <row r="31" spans="2:21" ht="18.75" thickBot="1" x14ac:dyDescent="0.3">
      <c r="B31" s="1" t="s">
        <v>51</v>
      </c>
      <c r="C31" s="36" t="s">
        <v>62</v>
      </c>
      <c r="D31" s="2"/>
      <c r="E31" s="2"/>
      <c r="F31" s="2"/>
      <c r="G31" s="2"/>
      <c r="H31" s="2"/>
      <c r="I31" s="2"/>
      <c r="J31" s="2"/>
      <c r="K31" s="3"/>
      <c r="M31" s="37" t="s">
        <v>77</v>
      </c>
      <c r="N31" s="2"/>
      <c r="O31" s="2"/>
      <c r="P31" s="2"/>
      <c r="Q31" s="2"/>
      <c r="R31" s="2"/>
      <c r="S31" s="2"/>
      <c r="T31" s="3"/>
    </row>
    <row r="32" spans="2:21" x14ac:dyDescent="0.25">
      <c r="B32" s="4"/>
      <c r="C32" s="5"/>
      <c r="D32" s="5"/>
      <c r="E32" s="5"/>
      <c r="F32" s="5"/>
      <c r="G32" s="5"/>
      <c r="H32" s="5"/>
      <c r="I32" s="5"/>
      <c r="J32" s="5"/>
      <c r="K32" s="6"/>
      <c r="M32" s="4"/>
      <c r="N32" s="38">
        <v>-0.15</v>
      </c>
      <c r="O32" s="38">
        <v>-0.1</v>
      </c>
      <c r="P32" s="38">
        <v>-0.05</v>
      </c>
      <c r="Q32" s="38">
        <v>0</v>
      </c>
      <c r="R32" s="38">
        <v>0.05</v>
      </c>
      <c r="S32" s="38">
        <v>0.1</v>
      </c>
      <c r="T32" s="39">
        <v>0.15</v>
      </c>
    </row>
    <row r="33" spans="2:20" x14ac:dyDescent="0.25">
      <c r="B33" s="7" t="s">
        <v>60</v>
      </c>
      <c r="C33" s="21">
        <v>245.74</v>
      </c>
      <c r="D33" s="8" t="s">
        <v>2</v>
      </c>
      <c r="E33" s="5"/>
      <c r="F33" s="5"/>
      <c r="G33" s="5"/>
      <c r="H33" s="5"/>
      <c r="I33" s="5"/>
      <c r="J33" s="5"/>
      <c r="K33" s="6"/>
      <c r="M33" s="40">
        <f>I44</f>
        <v>7.8222205323193901</v>
      </c>
      <c r="N33" s="43">
        <f t="dataTable" ref="N33:T33" dt2D="0" dtr="1" r1="E38"/>
        <v>8.3671973384030434</v>
      </c>
      <c r="O33" s="43">
        <v>8.185538403041825</v>
      </c>
      <c r="P33" s="43">
        <v>8.0038794676806102</v>
      </c>
      <c r="Q33" s="43">
        <v>7.8222205323193901</v>
      </c>
      <c r="R33" s="43">
        <v>7.6405615969581762</v>
      </c>
      <c r="S33" s="43">
        <v>7.4589026615969587</v>
      </c>
      <c r="T33" s="44">
        <v>7.2772437262357421</v>
      </c>
    </row>
    <row r="34" spans="2:20" x14ac:dyDescent="0.25">
      <c r="B34" s="7" t="s">
        <v>67</v>
      </c>
      <c r="C34" s="21">
        <v>210.4</v>
      </c>
      <c r="D34" s="5" t="s">
        <v>2</v>
      </c>
      <c r="E34" s="5"/>
      <c r="F34" s="5"/>
      <c r="G34" s="5"/>
      <c r="H34" s="5"/>
      <c r="I34" s="5"/>
      <c r="J34" s="5"/>
      <c r="K34" s="6"/>
      <c r="M34" s="4"/>
      <c r="N34" s="5"/>
      <c r="O34" s="5"/>
      <c r="P34" s="5"/>
      <c r="Q34" s="5"/>
      <c r="R34" s="5"/>
      <c r="S34" s="5"/>
      <c r="T34" s="6"/>
    </row>
    <row r="35" spans="2:20" x14ac:dyDescent="0.25">
      <c r="B35" s="7" t="s">
        <v>4</v>
      </c>
      <c r="C35" s="21">
        <f>6*(1+E35)</f>
        <v>6</v>
      </c>
      <c r="D35" s="8" t="s">
        <v>5</v>
      </c>
      <c r="E35" s="41"/>
      <c r="F35" s="5"/>
      <c r="G35" s="5"/>
      <c r="H35" s="5"/>
      <c r="I35" s="5"/>
      <c r="J35" s="5"/>
      <c r="K35" s="6"/>
      <c r="M35" s="4" t="s">
        <v>55</v>
      </c>
      <c r="N35" s="5"/>
      <c r="O35" s="5"/>
      <c r="P35" s="5"/>
      <c r="Q35" s="5"/>
      <c r="R35" s="5"/>
      <c r="S35" s="5"/>
      <c r="T35" s="6"/>
    </row>
    <row r="36" spans="2:20" x14ac:dyDescent="0.25">
      <c r="B36" s="7" t="s">
        <v>6</v>
      </c>
      <c r="C36" s="21">
        <v>81.900000000000006</v>
      </c>
      <c r="D36" s="8" t="s">
        <v>7</v>
      </c>
      <c r="E36" s="5"/>
      <c r="F36" s="5"/>
      <c r="G36" s="5"/>
      <c r="H36" s="5"/>
      <c r="I36" s="5"/>
      <c r="J36" s="5"/>
      <c r="K36" s="6"/>
      <c r="M36" s="4"/>
      <c r="N36" s="38">
        <v>-0.15</v>
      </c>
      <c r="O36" s="38">
        <v>-0.1</v>
      </c>
      <c r="P36" s="38">
        <v>-0.05</v>
      </c>
      <c r="Q36" s="38">
        <v>0</v>
      </c>
      <c r="R36" s="38">
        <v>0.05</v>
      </c>
      <c r="S36" s="38">
        <v>0.1</v>
      </c>
      <c r="T36" s="39">
        <v>0.15</v>
      </c>
    </row>
    <row r="37" spans="2:20" x14ac:dyDescent="0.25">
      <c r="B37" s="35" t="s">
        <v>56</v>
      </c>
      <c r="C37" s="21">
        <v>5.2</v>
      </c>
      <c r="D37" s="34" t="s">
        <v>57</v>
      </c>
      <c r="E37" s="5"/>
      <c r="F37" s="5"/>
      <c r="G37" s="5"/>
      <c r="H37" s="5"/>
      <c r="I37" s="5"/>
      <c r="J37" s="5"/>
      <c r="K37" s="6"/>
      <c r="M37" s="40">
        <f>I44</f>
        <v>7.8222205323193901</v>
      </c>
      <c r="N37" s="43">
        <f t="dataTable" ref="N37:T37" dt2D="0" dtr="1" r1="E39" ca="1"/>
        <v>8.3671973384030434</v>
      </c>
      <c r="O37" s="43">
        <v>8.185538403041825</v>
      </c>
      <c r="P37" s="43">
        <v>8.0038794676806102</v>
      </c>
      <c r="Q37" s="43">
        <v>7.8222205323193901</v>
      </c>
      <c r="R37" s="43">
        <v>7.6405615969581762</v>
      </c>
      <c r="S37" s="43">
        <v>7.4589026615969587</v>
      </c>
      <c r="T37" s="44">
        <v>7.2772437262357421</v>
      </c>
    </row>
    <row r="38" spans="2:20" x14ac:dyDescent="0.25">
      <c r="B38" s="35" t="s">
        <v>58</v>
      </c>
      <c r="C38" s="21">
        <f>5500*(1+E38)</f>
        <v>5500</v>
      </c>
      <c r="D38" s="34" t="s">
        <v>59</v>
      </c>
      <c r="E38" s="41"/>
      <c r="F38" s="5"/>
      <c r="G38" s="5"/>
      <c r="H38" s="5"/>
      <c r="I38" s="5"/>
      <c r="J38" s="5"/>
      <c r="K38" s="6"/>
      <c r="M38" s="4"/>
      <c r="N38" s="5"/>
      <c r="O38" s="5"/>
      <c r="P38" s="5"/>
      <c r="Q38" s="5"/>
      <c r="R38" s="5"/>
      <c r="S38" s="5"/>
      <c r="T38" s="6"/>
    </row>
    <row r="39" spans="2:20" x14ac:dyDescent="0.25">
      <c r="B39" s="4" t="s">
        <v>55</v>
      </c>
      <c r="C39" s="21">
        <f>33.41*(1+E39)</f>
        <v>33.409999999999997</v>
      </c>
      <c r="D39" s="34" t="s">
        <v>5</v>
      </c>
      <c r="E39" s="41"/>
      <c r="F39" s="5"/>
      <c r="G39" s="5"/>
      <c r="H39" s="5"/>
      <c r="I39" s="5"/>
      <c r="J39" s="5"/>
      <c r="K39" s="6"/>
      <c r="M39" s="4" t="s">
        <v>78</v>
      </c>
      <c r="N39" s="5"/>
      <c r="O39" s="5"/>
      <c r="P39" s="5"/>
      <c r="Q39" s="5"/>
      <c r="R39" s="5"/>
      <c r="S39" s="5"/>
      <c r="T39" s="6"/>
    </row>
    <row r="40" spans="2:20" x14ac:dyDescent="0.25">
      <c r="B40" s="4"/>
      <c r="C40" s="5"/>
      <c r="D40" s="5"/>
      <c r="E40" s="5"/>
      <c r="F40" s="5"/>
      <c r="G40" s="5"/>
      <c r="H40" s="5"/>
      <c r="I40" s="5"/>
      <c r="J40" s="5"/>
      <c r="K40" s="6"/>
      <c r="M40" s="4"/>
      <c r="N40" s="38">
        <v>-0.15</v>
      </c>
      <c r="O40" s="38">
        <v>-0.1</v>
      </c>
      <c r="P40" s="38">
        <v>-0.05</v>
      </c>
      <c r="Q40" s="38">
        <v>0</v>
      </c>
      <c r="R40" s="38">
        <v>0.05</v>
      </c>
      <c r="S40" s="38">
        <v>0.1</v>
      </c>
      <c r="T40" s="39">
        <v>0.15</v>
      </c>
    </row>
    <row r="41" spans="2:20" x14ac:dyDescent="0.25">
      <c r="B41" s="4"/>
      <c r="C41" s="5"/>
      <c r="D41" s="5"/>
      <c r="E41" s="5"/>
      <c r="F41" s="5"/>
      <c r="G41" s="5"/>
      <c r="H41" s="5"/>
      <c r="I41" s="5"/>
      <c r="J41" s="5"/>
      <c r="K41" s="6"/>
      <c r="M41" s="40">
        <f>I44</f>
        <v>7.8222205323193901</v>
      </c>
      <c r="N41" s="43">
        <f t="dataTable" ref="N41:T41" dt2D="0" dtr="1" r1="D55" ca="1"/>
        <v>7.2548897338403044</v>
      </c>
      <c r="O41" s="43">
        <v>7.4440000000000008</v>
      </c>
      <c r="P41" s="43">
        <v>7.6331102661596955</v>
      </c>
      <c r="Q41" s="43">
        <v>7.8222205323193901</v>
      </c>
      <c r="R41" s="43">
        <v>8.0113307984790865</v>
      </c>
      <c r="S41" s="43">
        <v>8.2004410646387829</v>
      </c>
      <c r="T41" s="44">
        <v>8.3895513307984775</v>
      </c>
    </row>
    <row r="42" spans="2:20" x14ac:dyDescent="0.25">
      <c r="B42" s="4"/>
      <c r="C42" s="5"/>
      <c r="D42" s="5"/>
      <c r="E42" s="5"/>
      <c r="F42" s="5"/>
      <c r="G42" s="5"/>
      <c r="H42" s="5"/>
      <c r="I42" s="5"/>
      <c r="J42" s="5"/>
      <c r="K42" s="6"/>
      <c r="M42" s="4"/>
      <c r="N42" s="5"/>
      <c r="O42" s="5"/>
      <c r="P42" s="5"/>
      <c r="Q42" s="5"/>
      <c r="R42" s="5"/>
      <c r="S42" s="5"/>
      <c r="T42" s="6"/>
    </row>
    <row r="43" spans="2:20" x14ac:dyDescent="0.25">
      <c r="B43" s="4"/>
      <c r="C43" s="5"/>
      <c r="D43" s="5"/>
      <c r="E43" s="5"/>
      <c r="F43" s="5"/>
      <c r="G43" s="5"/>
      <c r="H43" s="8" t="s">
        <v>15</v>
      </c>
      <c r="I43" s="14">
        <f>((C33*1000/0.774)*(C36/1000))/(C33*1000)*100</f>
        <v>10.58139534883721</v>
      </c>
      <c r="J43" s="8" t="s">
        <v>76</v>
      </c>
      <c r="K43" s="6"/>
      <c r="M43" s="4" t="s">
        <v>79</v>
      </c>
      <c r="N43" s="5"/>
      <c r="O43" s="5"/>
      <c r="P43" s="5"/>
      <c r="Q43" s="5"/>
      <c r="R43" s="5"/>
      <c r="S43" s="5"/>
      <c r="T43" s="6"/>
    </row>
    <row r="44" spans="2:20" ht="30" x14ac:dyDescent="0.25">
      <c r="B44" s="4"/>
      <c r="C44" s="9" t="s">
        <v>8</v>
      </c>
      <c r="D44" s="10" t="s">
        <v>9</v>
      </c>
      <c r="E44" s="10" t="s">
        <v>50</v>
      </c>
      <c r="F44" s="10" t="s">
        <v>10</v>
      </c>
      <c r="G44" s="10" t="s">
        <v>11</v>
      </c>
      <c r="H44" s="8" t="s">
        <v>17</v>
      </c>
      <c r="I44" s="14">
        <f>(G54/10)/(C34*1000)*100</f>
        <v>7.8222205323193901</v>
      </c>
      <c r="J44" s="8" t="s">
        <v>76</v>
      </c>
      <c r="K44" s="6"/>
      <c r="M44" s="4"/>
      <c r="N44" s="38">
        <v>-0.15</v>
      </c>
      <c r="O44" s="38">
        <v>-0.1</v>
      </c>
      <c r="P44" s="38">
        <v>-0.05</v>
      </c>
      <c r="Q44" s="38">
        <v>0</v>
      </c>
      <c r="R44" s="38">
        <v>0.05</v>
      </c>
      <c r="S44" s="38">
        <v>0.1</v>
      </c>
      <c r="T44" s="39">
        <v>0.15</v>
      </c>
    </row>
    <row r="45" spans="2:20" x14ac:dyDescent="0.25">
      <c r="B45" s="4"/>
      <c r="C45" s="9" t="s">
        <v>20</v>
      </c>
      <c r="D45" s="11">
        <v>3777.6</v>
      </c>
      <c r="E45" s="11"/>
      <c r="F45" s="11">
        <f>D45+(E45*5)</f>
        <v>3777.6</v>
      </c>
      <c r="G45" s="11">
        <f>D45+(E45*10)</f>
        <v>3777.6</v>
      </c>
      <c r="H45" s="5"/>
      <c r="I45" s="5"/>
      <c r="J45" s="5"/>
      <c r="K45" s="6"/>
      <c r="M45" s="40">
        <f>I44</f>
        <v>7.8222205323193901</v>
      </c>
      <c r="N45" s="43">
        <f t="dataTable" ref="N45:T45" dt2D="0" dtr="1" r1="E35" ca="1"/>
        <v>6.7710513307984792</v>
      </c>
      <c r="O45" s="43">
        <v>7.1214410646387822</v>
      </c>
      <c r="P45" s="43">
        <v>7.471830798479087</v>
      </c>
      <c r="Q45" s="43">
        <v>7.8222205323193901</v>
      </c>
      <c r="R45" s="43">
        <v>8.1726102661596975</v>
      </c>
      <c r="S45" s="43">
        <v>8.5230000000000015</v>
      </c>
      <c r="T45" s="44">
        <v>8.8733897338403054</v>
      </c>
    </row>
    <row r="46" spans="2:20" ht="15.75" thickBot="1" x14ac:dyDescent="0.3">
      <c r="B46" s="4"/>
      <c r="C46" s="9" t="s">
        <v>21</v>
      </c>
      <c r="D46" s="11">
        <v>6000</v>
      </c>
      <c r="E46" s="11">
        <v>400</v>
      </c>
      <c r="F46" s="11">
        <f t="shared" ref="F46:F54" si="2">D46+(E46*5)</f>
        <v>8000</v>
      </c>
      <c r="G46" s="11">
        <f t="shared" ref="G46:G54" si="3">D46+(E46*10)</f>
        <v>10000</v>
      </c>
      <c r="H46" s="5"/>
      <c r="I46" s="5"/>
      <c r="J46" s="5"/>
      <c r="K46" s="6"/>
      <c r="M46" s="18"/>
      <c r="N46" s="19"/>
      <c r="O46" s="19"/>
      <c r="P46" s="19"/>
      <c r="Q46" s="19"/>
      <c r="R46" s="19"/>
      <c r="S46" s="19"/>
      <c r="T46" s="20"/>
    </row>
    <row r="47" spans="2:20" x14ac:dyDescent="0.25">
      <c r="B47" s="4"/>
      <c r="C47" s="9" t="s">
        <v>22</v>
      </c>
      <c r="D47" s="11">
        <v>21000</v>
      </c>
      <c r="E47" s="11"/>
      <c r="F47" s="11">
        <f t="shared" si="2"/>
        <v>21000</v>
      </c>
      <c r="G47" s="11">
        <f t="shared" si="3"/>
        <v>21000</v>
      </c>
      <c r="H47" s="5"/>
      <c r="I47" s="5"/>
      <c r="J47" s="5"/>
      <c r="K47" s="6"/>
    </row>
    <row r="48" spans="2:20" x14ac:dyDescent="0.25">
      <c r="B48" s="4"/>
      <c r="C48" s="9" t="s">
        <v>23</v>
      </c>
      <c r="D48" s="11">
        <v>7600</v>
      </c>
      <c r="E48" s="11"/>
      <c r="F48" s="11">
        <f t="shared" si="2"/>
        <v>7600</v>
      </c>
      <c r="G48" s="11">
        <f t="shared" si="3"/>
        <v>7600</v>
      </c>
      <c r="H48" s="5"/>
      <c r="I48" s="5"/>
      <c r="J48" s="5"/>
      <c r="K48" s="6"/>
    </row>
    <row r="49" spans="2:11" x14ac:dyDescent="0.25">
      <c r="B49" s="4"/>
      <c r="C49" s="32" t="s">
        <v>52</v>
      </c>
      <c r="D49" s="33">
        <v>30000</v>
      </c>
      <c r="E49" s="33">
        <v>1000</v>
      </c>
      <c r="F49" s="11">
        <f t="shared" si="2"/>
        <v>35000</v>
      </c>
      <c r="G49" s="11">
        <f t="shared" si="3"/>
        <v>40000</v>
      </c>
      <c r="H49" s="5"/>
      <c r="I49" s="5"/>
      <c r="J49" s="5"/>
      <c r="K49" s="6"/>
    </row>
    <row r="50" spans="2:11" x14ac:dyDescent="0.25">
      <c r="B50" s="4"/>
      <c r="C50" s="32" t="s">
        <v>53</v>
      </c>
      <c r="D50" s="33">
        <v>3600</v>
      </c>
      <c r="E50" s="33"/>
      <c r="F50" s="11">
        <f t="shared" si="2"/>
        <v>3600</v>
      </c>
      <c r="G50" s="11">
        <f t="shared" si="3"/>
        <v>3600</v>
      </c>
      <c r="H50" s="5"/>
      <c r="I50" s="5"/>
      <c r="J50" s="5"/>
      <c r="K50" s="6"/>
    </row>
    <row r="51" spans="2:11" x14ac:dyDescent="0.25">
      <c r="B51" s="4"/>
      <c r="C51" s="9" t="s">
        <v>14</v>
      </c>
      <c r="D51" s="11">
        <v>7600</v>
      </c>
      <c r="E51" s="11"/>
      <c r="F51" s="11">
        <f t="shared" si="2"/>
        <v>7600</v>
      </c>
      <c r="G51" s="11">
        <f t="shared" si="3"/>
        <v>7600</v>
      </c>
      <c r="H51" s="5"/>
      <c r="I51" s="5"/>
      <c r="J51" s="5"/>
      <c r="K51" s="6"/>
    </row>
    <row r="52" spans="2:11" x14ac:dyDescent="0.25">
      <c r="B52" s="4"/>
      <c r="C52" s="9" t="s">
        <v>16</v>
      </c>
      <c r="D52" s="11"/>
      <c r="E52" s="11">
        <f>(C33*1000)*C35/100</f>
        <v>14744.4</v>
      </c>
      <c r="F52" s="11">
        <f t="shared" si="2"/>
        <v>73722</v>
      </c>
      <c r="G52" s="11">
        <f t="shared" si="3"/>
        <v>147444</v>
      </c>
      <c r="H52" s="5"/>
      <c r="I52" s="5"/>
      <c r="J52" s="5"/>
      <c r="K52" s="6"/>
    </row>
    <row r="53" spans="2:11" x14ac:dyDescent="0.25">
      <c r="B53" s="4"/>
      <c r="C53" s="32" t="s">
        <v>54</v>
      </c>
      <c r="D53" s="33"/>
      <c r="E53" s="33">
        <f>(C37*C38*0.8*C39/100)*(-1)</f>
        <v>-7644.2079999999996</v>
      </c>
      <c r="F53" s="11">
        <f t="shared" si="2"/>
        <v>-38221.040000000001</v>
      </c>
      <c r="G53" s="11">
        <f t="shared" si="3"/>
        <v>-76442.080000000002</v>
      </c>
      <c r="H53" s="5"/>
      <c r="I53" s="5"/>
      <c r="J53" s="5"/>
      <c r="K53" s="6"/>
    </row>
    <row r="54" spans="2:11" x14ac:dyDescent="0.25">
      <c r="B54" s="4"/>
      <c r="C54" s="16" t="s">
        <v>18</v>
      </c>
      <c r="D54" s="17">
        <f>(SUM(D45:D53))*(1+D55)</f>
        <v>79577.600000000006</v>
      </c>
      <c r="E54" s="17">
        <f>SUM(E45:E53)</f>
        <v>8500.1919999999991</v>
      </c>
      <c r="F54" s="45">
        <f t="shared" si="2"/>
        <v>122078.56</v>
      </c>
      <c r="G54" s="45">
        <f t="shared" si="3"/>
        <v>164579.51999999999</v>
      </c>
      <c r="H54" s="5"/>
      <c r="I54" s="5"/>
      <c r="J54" s="5"/>
      <c r="K54" s="6"/>
    </row>
    <row r="55" spans="2:11" x14ac:dyDescent="0.25">
      <c r="B55" s="4"/>
      <c r="C55" s="5"/>
      <c r="D55" s="41"/>
      <c r="E55" s="5"/>
      <c r="F55" s="5"/>
      <c r="G55" s="5"/>
      <c r="H55" s="5"/>
      <c r="I55" s="5"/>
      <c r="J55" s="5"/>
      <c r="K55" s="6"/>
    </row>
    <row r="56" spans="2:11" ht="15.75" thickBot="1" x14ac:dyDescent="0.3">
      <c r="B56" s="18"/>
      <c r="C56" s="19"/>
      <c r="D56" s="19"/>
      <c r="E56" s="19"/>
      <c r="F56" s="19"/>
      <c r="G56" s="19"/>
      <c r="H56" s="19"/>
      <c r="I56" s="19"/>
      <c r="J56" s="19"/>
      <c r="K56" s="20"/>
    </row>
  </sheetData>
  <pageMargins left="0.7" right="0.7" top="0.78740157499999996" bottom="0.78740157499999996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C11" workbookViewId="0">
      <selection activeCell="U35" sqref="U35"/>
    </sheetView>
  </sheetViews>
  <sheetFormatPr baseColWidth="10" defaultRowHeight="15" x14ac:dyDescent="0.25"/>
  <cols>
    <col min="1" max="1" width="10.5703125" customWidth="1"/>
    <col min="2" max="2" width="17.85546875" bestFit="1" customWidth="1"/>
    <col min="3" max="3" width="23.7109375" bestFit="1" customWidth="1"/>
    <col min="4" max="4" width="14.42578125" bestFit="1" customWidth="1"/>
    <col min="8" max="8" width="36.140625" bestFit="1" customWidth="1"/>
    <col min="13" max="13" width="18.7109375" bestFit="1" customWidth="1"/>
  </cols>
  <sheetData>
    <row r="1" spans="1:21" ht="15.75" thickBot="1" x14ac:dyDescent="0.3"/>
    <row r="2" spans="1:21" ht="18.75" thickBot="1" x14ac:dyDescent="0.3">
      <c r="A2" s="5"/>
      <c r="B2" s="1" t="s">
        <v>63</v>
      </c>
      <c r="C2" s="36"/>
      <c r="D2" s="2"/>
      <c r="E2" s="2"/>
      <c r="F2" s="2"/>
      <c r="G2" s="2"/>
      <c r="H2" s="2"/>
      <c r="I2" s="2"/>
      <c r="J2" s="2"/>
      <c r="K2" s="3"/>
    </row>
    <row r="3" spans="1:21" x14ac:dyDescent="0.25">
      <c r="B3" s="4"/>
      <c r="C3" s="5"/>
      <c r="D3" s="5"/>
      <c r="E3" s="5"/>
      <c r="F3" s="5"/>
      <c r="G3" s="5"/>
      <c r="H3" s="5"/>
      <c r="I3" s="5"/>
      <c r="J3" s="5"/>
      <c r="K3" s="6"/>
    </row>
    <row r="4" spans="1:21" ht="15.75" thickBot="1" x14ac:dyDescent="0.3">
      <c r="B4" s="7" t="s">
        <v>60</v>
      </c>
      <c r="C4" s="21">
        <v>371.06</v>
      </c>
      <c r="D4" s="8" t="s">
        <v>2</v>
      </c>
      <c r="E4" s="5"/>
      <c r="F4" s="5"/>
      <c r="G4" s="5"/>
      <c r="H4" s="5"/>
      <c r="I4" s="5"/>
      <c r="J4" s="5"/>
      <c r="K4" s="6"/>
    </row>
    <row r="5" spans="1:21" x14ac:dyDescent="0.25">
      <c r="B5" s="7" t="s">
        <v>67</v>
      </c>
      <c r="C5" s="21">
        <v>210.4</v>
      </c>
      <c r="D5" s="5" t="s">
        <v>2</v>
      </c>
      <c r="E5" s="5"/>
      <c r="F5" s="5"/>
      <c r="G5" s="5"/>
      <c r="H5" s="5"/>
      <c r="I5" s="5"/>
      <c r="J5" s="5"/>
      <c r="K5" s="6"/>
      <c r="N5" s="37" t="s">
        <v>77</v>
      </c>
      <c r="O5" s="2"/>
      <c r="P5" s="2"/>
      <c r="Q5" s="2"/>
      <c r="R5" s="2"/>
      <c r="S5" s="2"/>
      <c r="T5" s="2"/>
      <c r="U5" s="3"/>
    </row>
    <row r="6" spans="1:21" x14ac:dyDescent="0.25">
      <c r="B6" s="7" t="s">
        <v>4</v>
      </c>
      <c r="C6" s="21">
        <f>6*(1+E6)</f>
        <v>6</v>
      </c>
      <c r="D6" s="8" t="s">
        <v>5</v>
      </c>
      <c r="E6" s="41"/>
      <c r="F6" s="5"/>
      <c r="G6" s="5"/>
      <c r="H6" s="5"/>
      <c r="I6" s="5"/>
      <c r="J6" s="5"/>
      <c r="K6" s="6"/>
      <c r="N6" s="4"/>
      <c r="O6" s="38">
        <v>-0.15</v>
      </c>
      <c r="P6" s="38">
        <v>-0.1</v>
      </c>
      <c r="Q6" s="38">
        <v>-0.05</v>
      </c>
      <c r="R6" s="38">
        <v>0</v>
      </c>
      <c r="S6" s="38">
        <v>0.05</v>
      </c>
      <c r="T6" s="38">
        <v>0.1</v>
      </c>
      <c r="U6" s="39">
        <v>0.15</v>
      </c>
    </row>
    <row r="7" spans="1:21" x14ac:dyDescent="0.25">
      <c r="B7" s="7" t="s">
        <v>6</v>
      </c>
      <c r="C7" s="21">
        <v>81.900000000000006</v>
      </c>
      <c r="D7" s="8" t="s">
        <v>7</v>
      </c>
      <c r="E7" s="5"/>
      <c r="F7" s="5"/>
      <c r="G7" s="5"/>
      <c r="H7" s="5"/>
      <c r="I7" s="5"/>
      <c r="J7" s="5"/>
      <c r="K7" s="6"/>
      <c r="N7" s="40">
        <f>I15</f>
        <v>10.038740494296579</v>
      </c>
      <c r="O7" s="43">
        <f t="dataTable" ref="O7:U7" dt2D="0" dtr="1" r1="E9"/>
        <v>11.60004158745247</v>
      </c>
      <c r="P7" s="43">
        <v>11.07960788973384</v>
      </c>
      <c r="Q7" s="43">
        <v>10.55917419201521</v>
      </c>
      <c r="R7" s="43">
        <v>10.038740494296579</v>
      </c>
      <c r="S7" s="43">
        <v>9.5183067965779458</v>
      </c>
      <c r="T7" s="43">
        <v>8.9978730988593156</v>
      </c>
      <c r="U7" s="44">
        <v>8.4774394011406873</v>
      </c>
    </row>
    <row r="8" spans="1:21" x14ac:dyDescent="0.25">
      <c r="B8" s="35" t="s">
        <v>56</v>
      </c>
      <c r="C8" s="21">
        <v>35</v>
      </c>
      <c r="D8" s="34" t="s">
        <v>57</v>
      </c>
      <c r="E8" s="5"/>
      <c r="F8" s="5"/>
      <c r="G8" s="5"/>
      <c r="H8" s="5"/>
      <c r="I8" s="5"/>
      <c r="J8" s="5"/>
      <c r="K8" s="6"/>
      <c r="N8" s="4"/>
      <c r="O8" s="5"/>
      <c r="P8" s="5"/>
      <c r="Q8" s="5"/>
      <c r="R8" s="5"/>
      <c r="S8" s="5"/>
      <c r="T8" s="5"/>
      <c r="U8" s="6"/>
    </row>
    <row r="9" spans="1:21" x14ac:dyDescent="0.25">
      <c r="B9" s="35" t="s">
        <v>58</v>
      </c>
      <c r="C9" s="21">
        <f>1500*(1+E9)</f>
        <v>1500</v>
      </c>
      <c r="D9" s="34" t="s">
        <v>59</v>
      </c>
      <c r="E9" s="41"/>
      <c r="F9" s="5"/>
      <c r="G9" s="5"/>
      <c r="H9" s="5"/>
      <c r="I9" s="5"/>
      <c r="J9" s="5"/>
      <c r="K9" s="6"/>
      <c r="N9" s="4" t="s">
        <v>55</v>
      </c>
      <c r="O9" s="5"/>
      <c r="P9" s="5"/>
      <c r="Q9" s="5"/>
      <c r="R9" s="5"/>
      <c r="S9" s="5"/>
      <c r="T9" s="5"/>
      <c r="U9" s="6"/>
    </row>
    <row r="10" spans="1:21" x14ac:dyDescent="0.25">
      <c r="B10" s="4" t="s">
        <v>55</v>
      </c>
      <c r="C10" s="21">
        <f>41.714*(1+E10)</f>
        <v>41.713999999999999</v>
      </c>
      <c r="D10" s="34" t="s">
        <v>5</v>
      </c>
      <c r="E10" s="41"/>
      <c r="F10" s="5"/>
      <c r="G10" s="5"/>
      <c r="H10" s="5"/>
      <c r="I10" s="5"/>
      <c r="J10" s="5"/>
      <c r="K10" s="6"/>
      <c r="N10" s="4"/>
      <c r="O10" s="38">
        <v>-0.15</v>
      </c>
      <c r="P10" s="38">
        <v>-0.1</v>
      </c>
      <c r="Q10" s="38">
        <v>-0.05</v>
      </c>
      <c r="R10" s="38">
        <v>0</v>
      </c>
      <c r="S10" s="38">
        <v>0.05</v>
      </c>
      <c r="T10" s="38">
        <v>0.1</v>
      </c>
      <c r="U10" s="39">
        <v>0.15</v>
      </c>
    </row>
    <row r="11" spans="1:21" x14ac:dyDescent="0.25">
      <c r="B11" s="4"/>
      <c r="C11" s="5"/>
      <c r="D11" s="5"/>
      <c r="E11" s="5"/>
      <c r="F11" s="5"/>
      <c r="G11" s="5"/>
      <c r="H11" s="5"/>
      <c r="I11" s="5"/>
      <c r="J11" s="5"/>
      <c r="K11" s="6"/>
      <c r="N11" s="40">
        <f>I15</f>
        <v>10.038740494296579</v>
      </c>
      <c r="O11" s="43">
        <f t="dataTable" ref="O11:U11" dt2D="0" dtr="1" r1="E10" ca="1"/>
        <v>11.600041587452472</v>
      </c>
      <c r="P11" s="43">
        <v>11.07960788973384</v>
      </c>
      <c r="Q11" s="43">
        <v>10.55917419201521</v>
      </c>
      <c r="R11" s="43">
        <v>10.038740494296579</v>
      </c>
      <c r="S11" s="43">
        <v>9.5183067965779458</v>
      </c>
      <c r="T11" s="43">
        <v>8.9978730988593156</v>
      </c>
      <c r="U11" s="44">
        <v>8.4774394011406873</v>
      </c>
    </row>
    <row r="12" spans="1:21" x14ac:dyDescent="0.25">
      <c r="B12" s="4"/>
      <c r="C12" s="5"/>
      <c r="D12" s="5"/>
      <c r="E12" s="5"/>
      <c r="F12" s="5"/>
      <c r="G12" s="5"/>
      <c r="H12" s="5"/>
      <c r="I12" s="5"/>
      <c r="J12" s="5"/>
      <c r="K12" s="6"/>
      <c r="N12" s="4"/>
      <c r="O12" s="5"/>
      <c r="P12" s="5"/>
      <c r="Q12" s="5"/>
      <c r="R12" s="5"/>
      <c r="S12" s="5"/>
      <c r="T12" s="5"/>
      <c r="U12" s="6"/>
    </row>
    <row r="13" spans="1:21" x14ac:dyDescent="0.25">
      <c r="B13" s="4"/>
      <c r="C13" s="5"/>
      <c r="D13" s="5"/>
      <c r="E13" s="5"/>
      <c r="F13" s="5"/>
      <c r="G13" s="5"/>
      <c r="H13" s="5"/>
      <c r="I13" s="5"/>
      <c r="J13" s="5"/>
      <c r="K13" s="6"/>
      <c r="N13" s="4" t="s">
        <v>78</v>
      </c>
      <c r="O13" s="5"/>
      <c r="P13" s="5"/>
      <c r="Q13" s="5"/>
      <c r="R13" s="5"/>
      <c r="S13" s="5"/>
      <c r="T13" s="5"/>
      <c r="U13" s="6"/>
    </row>
    <row r="14" spans="1:21" x14ac:dyDescent="0.25">
      <c r="B14" s="4"/>
      <c r="C14" s="5"/>
      <c r="D14" s="5"/>
      <c r="E14" s="5"/>
      <c r="F14" s="5"/>
      <c r="G14" s="5"/>
      <c r="H14" s="8" t="s">
        <v>15</v>
      </c>
      <c r="I14" s="14">
        <f>((C4*1000/0.774)*(C7/1000))/(C4*1000)*100</f>
        <v>10.581395348837209</v>
      </c>
      <c r="J14" s="8" t="s">
        <v>76</v>
      </c>
      <c r="K14" s="6"/>
      <c r="N14" s="4"/>
      <c r="O14" s="38">
        <v>-0.15</v>
      </c>
      <c r="P14" s="38">
        <v>-0.1</v>
      </c>
      <c r="Q14" s="38">
        <v>-0.05</v>
      </c>
      <c r="R14" s="38">
        <v>0</v>
      </c>
      <c r="S14" s="38">
        <v>0.05</v>
      </c>
      <c r="T14" s="38">
        <v>0.1</v>
      </c>
      <c r="U14" s="39">
        <v>0.15</v>
      </c>
    </row>
    <row r="15" spans="1:21" ht="30" x14ac:dyDescent="0.25">
      <c r="B15" s="4"/>
      <c r="C15" s="9" t="s">
        <v>8</v>
      </c>
      <c r="D15" s="10" t="s">
        <v>9</v>
      </c>
      <c r="E15" s="10" t="s">
        <v>50</v>
      </c>
      <c r="F15" s="10" t="s">
        <v>10</v>
      </c>
      <c r="G15" s="10" t="s">
        <v>11</v>
      </c>
      <c r="H15" s="8" t="s">
        <v>17</v>
      </c>
      <c r="I15" s="14">
        <f>(G36/10)/(C5*1000)*100</f>
        <v>10.038740494296579</v>
      </c>
      <c r="J15" s="8" t="s">
        <v>76</v>
      </c>
      <c r="K15" s="6"/>
      <c r="N15" s="40">
        <f>I15</f>
        <v>10.038740494296579</v>
      </c>
      <c r="O15" s="43">
        <f t="dataTable" ref="O15:U15" dt2D="0" dtr="1" r1="D37" ca="1"/>
        <v>8.7370941064638767</v>
      </c>
      <c r="P15" s="43">
        <v>9.1709762357414437</v>
      </c>
      <c r="Q15" s="43">
        <v>9.6048583650190125</v>
      </c>
      <c r="R15" s="43">
        <v>10.038740494296579</v>
      </c>
      <c r="S15" s="43">
        <v>10.472622623574145</v>
      </c>
      <c r="T15" s="43">
        <v>10.906504752851712</v>
      </c>
      <c r="U15" s="44">
        <v>11.340386882129277</v>
      </c>
    </row>
    <row r="16" spans="1:21" x14ac:dyDescent="0.25">
      <c r="B16" s="4"/>
      <c r="C16" s="9" t="s">
        <v>20</v>
      </c>
      <c r="D16" s="11">
        <v>3777.6</v>
      </c>
      <c r="E16" s="11"/>
      <c r="F16" s="11">
        <f>D16+(E16*5)</f>
        <v>3777.6</v>
      </c>
      <c r="G16" s="11">
        <f>D16+(10*E16)</f>
        <v>3777.6</v>
      </c>
      <c r="H16" s="5"/>
      <c r="I16" s="5"/>
      <c r="J16" s="5"/>
      <c r="K16" s="6"/>
      <c r="N16" s="4"/>
      <c r="O16" s="5"/>
      <c r="P16" s="5"/>
      <c r="Q16" s="5"/>
      <c r="R16" s="5"/>
      <c r="S16" s="5"/>
      <c r="T16" s="5"/>
      <c r="U16" s="6"/>
    </row>
    <row r="17" spans="2:21" x14ac:dyDescent="0.25">
      <c r="B17" s="4"/>
      <c r="C17" s="32" t="s">
        <v>23</v>
      </c>
      <c r="D17" s="11">
        <v>7600</v>
      </c>
      <c r="E17" s="11"/>
      <c r="F17" s="11">
        <f t="shared" ref="F17:F19" si="0">D17+(E17*5)</f>
        <v>7600</v>
      </c>
      <c r="G17" s="11">
        <f t="shared" ref="G17:G19" si="1">D17+(10*E17)</f>
        <v>7600</v>
      </c>
      <c r="H17" s="5"/>
      <c r="I17" s="5"/>
      <c r="J17" s="5"/>
      <c r="K17" s="6"/>
      <c r="N17" s="4" t="s">
        <v>79</v>
      </c>
      <c r="O17" s="5"/>
      <c r="P17" s="5"/>
      <c r="Q17" s="5"/>
      <c r="R17" s="5"/>
      <c r="S17" s="5"/>
      <c r="T17" s="5"/>
      <c r="U17" s="6"/>
    </row>
    <row r="18" spans="2:21" x14ac:dyDescent="0.25">
      <c r="B18" s="4"/>
      <c r="C18" s="9" t="s">
        <v>22</v>
      </c>
      <c r="D18" s="11">
        <v>21000</v>
      </c>
      <c r="E18" s="11"/>
      <c r="F18" s="11">
        <f t="shared" si="0"/>
        <v>21000</v>
      </c>
      <c r="G18" s="11">
        <f t="shared" si="1"/>
        <v>21000</v>
      </c>
      <c r="H18" s="5"/>
      <c r="I18" s="5"/>
      <c r="J18" s="5"/>
      <c r="K18" s="6"/>
      <c r="N18" s="4"/>
      <c r="O18" s="38">
        <v>-0.15</v>
      </c>
      <c r="P18" s="38">
        <v>-0.1</v>
      </c>
      <c r="Q18" s="38">
        <v>-0.05</v>
      </c>
      <c r="R18" s="38">
        <v>0</v>
      </c>
      <c r="S18" s="38">
        <v>0.05</v>
      </c>
      <c r="T18" s="38">
        <v>0.1</v>
      </c>
      <c r="U18" s="39">
        <v>0.15</v>
      </c>
    </row>
    <row r="19" spans="2:21" x14ac:dyDescent="0.25">
      <c r="B19" s="4"/>
      <c r="C19" s="9" t="s">
        <v>64</v>
      </c>
      <c r="D19" s="11">
        <v>55500</v>
      </c>
      <c r="E19" s="11">
        <v>1100</v>
      </c>
      <c r="F19" s="11">
        <f t="shared" si="0"/>
        <v>61000</v>
      </c>
      <c r="G19" s="11">
        <f t="shared" si="1"/>
        <v>66500</v>
      </c>
      <c r="H19" s="5"/>
      <c r="I19" s="5"/>
      <c r="J19" s="5"/>
      <c r="K19" s="6"/>
      <c r="N19" s="40">
        <f>I15</f>
        <v>10.038740494296579</v>
      </c>
      <c r="O19" s="43">
        <f t="dataTable" ref="O19:U19" dt2D="0" dtr="1" r1="E6" ca="1"/>
        <v>8.4515066539923964</v>
      </c>
      <c r="P19" s="43">
        <v>8.9805846007604568</v>
      </c>
      <c r="Q19" s="43">
        <v>9.5096625475285155</v>
      </c>
      <c r="R19" s="43">
        <v>10.038740494296579</v>
      </c>
      <c r="S19" s="43">
        <v>10.567818441064643</v>
      </c>
      <c r="T19" s="43">
        <v>11.096896387832702</v>
      </c>
      <c r="U19" s="44">
        <v>11.625974334600759</v>
      </c>
    </row>
    <row r="20" spans="2:21" ht="15.75" thickBot="1" x14ac:dyDescent="0.3">
      <c r="B20" s="4"/>
      <c r="C20" s="32" t="s">
        <v>65</v>
      </c>
      <c r="D20" s="33">
        <v>65500</v>
      </c>
      <c r="E20" s="33">
        <v>1400</v>
      </c>
      <c r="F20" s="33">
        <f>D20+(E20*5)</f>
        <v>72500</v>
      </c>
      <c r="G20" s="33">
        <f>D20+(10*E20)</f>
        <v>79500</v>
      </c>
      <c r="H20" s="5"/>
      <c r="I20" s="5"/>
      <c r="J20" s="5"/>
      <c r="K20" s="6"/>
      <c r="M20" s="5"/>
      <c r="N20" s="18"/>
      <c r="O20" s="19"/>
      <c r="P20" s="19"/>
      <c r="Q20" s="19"/>
      <c r="R20" s="19"/>
      <c r="S20" s="19"/>
      <c r="T20" s="19"/>
      <c r="U20" s="20"/>
    </row>
    <row r="21" spans="2:21" x14ac:dyDescent="0.25">
      <c r="B21" s="4"/>
      <c r="C21" s="32" t="s">
        <v>66</v>
      </c>
      <c r="D21" s="33">
        <v>21600</v>
      </c>
      <c r="E21" s="33"/>
      <c r="F21" s="33">
        <f>D21+(E21*5)</f>
        <v>21600</v>
      </c>
      <c r="G21" s="33">
        <f>D21+(10*E21)</f>
        <v>21600</v>
      </c>
      <c r="H21" s="5"/>
      <c r="I21" s="5"/>
      <c r="J21" s="5"/>
      <c r="K21" s="6"/>
      <c r="M21" s="43"/>
      <c r="N21" s="5"/>
      <c r="O21" s="5"/>
      <c r="P21" s="5"/>
      <c r="Q21" s="5"/>
      <c r="R21" s="5"/>
      <c r="S21" s="5"/>
      <c r="T21" s="5"/>
      <c r="U21" s="5"/>
    </row>
    <row r="22" spans="2:21" x14ac:dyDescent="0.25">
      <c r="B22" s="4"/>
      <c r="C22" s="9" t="s">
        <v>14</v>
      </c>
      <c r="D22" s="11">
        <v>7600</v>
      </c>
      <c r="E22" s="11"/>
      <c r="F22" s="11">
        <f>D22+(E22*5)</f>
        <v>7600</v>
      </c>
      <c r="G22" s="11">
        <f>D22+(10*E22)</f>
        <v>7600</v>
      </c>
      <c r="H22" s="5"/>
      <c r="I22" s="15"/>
      <c r="J22" s="5"/>
      <c r="K22" s="6"/>
      <c r="M22" s="5"/>
      <c r="N22" s="5"/>
      <c r="O22" s="5"/>
      <c r="P22" s="5"/>
      <c r="Q22" s="5"/>
      <c r="R22" s="5"/>
      <c r="S22" s="5"/>
      <c r="T22" s="5"/>
      <c r="U22" s="5"/>
    </row>
    <row r="23" spans="2:21" x14ac:dyDescent="0.25">
      <c r="B23" s="4"/>
      <c r="C23" s="9" t="s">
        <v>16</v>
      </c>
      <c r="D23" s="11"/>
      <c r="E23" s="11">
        <f>(C4*1000)*C6/100</f>
        <v>22263.599999999999</v>
      </c>
      <c r="F23" s="11">
        <f>D23+(E23*5)</f>
        <v>111318</v>
      </c>
      <c r="G23" s="11">
        <f>D23+(10*E23)</f>
        <v>222636</v>
      </c>
      <c r="H23" s="5"/>
      <c r="I23" s="15"/>
      <c r="J23" s="5"/>
      <c r="K23" s="6"/>
      <c r="M23" s="5"/>
      <c r="N23" s="5"/>
      <c r="O23" s="5"/>
      <c r="P23" s="5"/>
      <c r="Q23" s="5"/>
      <c r="R23" s="5"/>
      <c r="S23" s="5"/>
      <c r="T23" s="5"/>
      <c r="U23" s="5"/>
    </row>
    <row r="24" spans="2:21" x14ac:dyDescent="0.25">
      <c r="B24" s="4"/>
      <c r="C24" s="16" t="s">
        <v>18</v>
      </c>
      <c r="D24" s="17">
        <f>SUM(D16:D23)</f>
        <v>182577.6</v>
      </c>
      <c r="E24" s="17">
        <f>SUM(E16:E23)</f>
        <v>24763.599999999999</v>
      </c>
      <c r="F24" s="17">
        <f>SUM(F16:F23)</f>
        <v>306395.59999999998</v>
      </c>
      <c r="G24" s="17">
        <f>SUM(G16:G23)</f>
        <v>430213.6</v>
      </c>
      <c r="H24" s="5"/>
      <c r="I24" s="5"/>
      <c r="J24" s="5"/>
      <c r="K24" s="6"/>
    </row>
    <row r="25" spans="2:21" x14ac:dyDescent="0.25">
      <c r="B25" s="4"/>
      <c r="C25" s="5"/>
      <c r="D25" s="5"/>
      <c r="E25" s="5"/>
      <c r="F25" s="5"/>
      <c r="G25" s="5"/>
      <c r="H25" s="5"/>
      <c r="I25" s="5"/>
      <c r="J25" s="5"/>
      <c r="K25" s="6"/>
    </row>
    <row r="26" spans="2:21" ht="30" x14ac:dyDescent="0.25">
      <c r="B26" s="4"/>
      <c r="C26" s="9" t="s">
        <v>8</v>
      </c>
      <c r="D26" s="10" t="s">
        <v>9</v>
      </c>
      <c r="E26" s="10" t="s">
        <v>50</v>
      </c>
      <c r="F26" s="10" t="s">
        <v>10</v>
      </c>
      <c r="G26" s="10" t="s">
        <v>11</v>
      </c>
      <c r="H26" s="5"/>
      <c r="I26" s="5"/>
      <c r="J26" s="5"/>
      <c r="K26" s="6"/>
    </row>
    <row r="27" spans="2:21" x14ac:dyDescent="0.25">
      <c r="B27" s="4"/>
      <c r="C27" s="9" t="s">
        <v>20</v>
      </c>
      <c r="D27" s="11">
        <v>3777.6</v>
      </c>
      <c r="E27" s="11"/>
      <c r="F27" s="11">
        <f>Tabelle98100456828[[#This Row],[einmalige
Kosten]]+(5*Tabelle98100456828[[#This Row],[jährliche
Kosten]])</f>
        <v>3777.6</v>
      </c>
      <c r="G27" s="11">
        <f>Tabelle98100456828[[#This Row],[einmalige
Kosten]]+(10*Tabelle98100456828[[#This Row],[jährliche
Kosten]])</f>
        <v>3777.6</v>
      </c>
      <c r="H27" s="5"/>
      <c r="I27" s="5"/>
      <c r="J27" s="5"/>
      <c r="K27" s="6"/>
    </row>
    <row r="28" spans="2:21" x14ac:dyDescent="0.25">
      <c r="B28" s="4"/>
      <c r="C28" s="32" t="s">
        <v>23</v>
      </c>
      <c r="D28" s="11">
        <v>7600</v>
      </c>
      <c r="E28" s="11"/>
      <c r="F28" s="11">
        <f>Tabelle98100456828[[#This Row],[einmalige
Kosten]]+(5*Tabelle98100456828[[#This Row],[jährliche
Kosten]])</f>
        <v>7600</v>
      </c>
      <c r="G28" s="11">
        <f>Tabelle98100456828[[#This Row],[einmalige
Kosten]]+(10*Tabelle98100456828[[#This Row],[jährliche
Kosten]])</f>
        <v>7600</v>
      </c>
      <c r="H28" s="5"/>
      <c r="I28" s="5"/>
      <c r="J28" s="5"/>
      <c r="K28" s="6"/>
    </row>
    <row r="29" spans="2:21" x14ac:dyDescent="0.25">
      <c r="B29" s="4"/>
      <c r="C29" s="9" t="s">
        <v>22</v>
      </c>
      <c r="D29" s="11">
        <v>21000</v>
      </c>
      <c r="E29" s="11"/>
      <c r="F29" s="11">
        <f>Tabelle98100456828[[#This Row],[einmalige
Kosten]]+(5*Tabelle98100456828[[#This Row],[jährliche
Kosten]])</f>
        <v>21000</v>
      </c>
      <c r="G29" s="11">
        <f>Tabelle98100456828[[#This Row],[einmalige
Kosten]]+(10*Tabelle98100456828[[#This Row],[jährliche
Kosten]])</f>
        <v>21000</v>
      </c>
      <c r="H29" s="5"/>
      <c r="I29" s="5"/>
      <c r="J29" s="5"/>
      <c r="K29" s="6"/>
    </row>
    <row r="30" spans="2:21" x14ac:dyDescent="0.25">
      <c r="B30" s="4"/>
      <c r="C30" s="9" t="s">
        <v>64</v>
      </c>
      <c r="D30" s="11">
        <v>55500</v>
      </c>
      <c r="E30" s="11">
        <v>1100</v>
      </c>
      <c r="F30" s="11">
        <f>Tabelle98100456828[[#This Row],[einmalige
Kosten]]+(5*Tabelle98100456828[[#This Row],[jährliche
Kosten]])</f>
        <v>61000</v>
      </c>
      <c r="G30" s="11">
        <f>Tabelle98100456828[[#This Row],[einmalige
Kosten]]+(10*Tabelle98100456828[[#This Row],[jährliche
Kosten]])</f>
        <v>66500</v>
      </c>
      <c r="H30" s="5"/>
      <c r="I30" s="5"/>
      <c r="J30" s="5"/>
      <c r="K30" s="6"/>
    </row>
    <row r="31" spans="2:21" x14ac:dyDescent="0.25">
      <c r="B31" s="4"/>
      <c r="C31" s="32" t="s">
        <v>65</v>
      </c>
      <c r="D31" s="33">
        <v>65500</v>
      </c>
      <c r="E31" s="33">
        <v>1400</v>
      </c>
      <c r="F31" s="33">
        <f>Tabelle98100456828[[#This Row],[einmalige
Kosten]]+(5*Tabelle98100456828[[#This Row],[jährliche
Kosten]])</f>
        <v>72500</v>
      </c>
      <c r="G31" s="33">
        <f>Tabelle98100456828[[#This Row],[einmalige
Kosten]]+(10*Tabelle98100456828[[#This Row],[jährliche
Kosten]])</f>
        <v>79500</v>
      </c>
      <c r="H31" s="5"/>
      <c r="I31" s="5"/>
      <c r="J31" s="5"/>
      <c r="K31" s="6"/>
    </row>
    <row r="32" spans="2:21" x14ac:dyDescent="0.25">
      <c r="B32" s="4"/>
      <c r="C32" s="32" t="s">
        <v>66</v>
      </c>
      <c r="D32" s="33">
        <v>21600</v>
      </c>
      <c r="E32" s="33"/>
      <c r="F32" s="33">
        <f>Tabelle98100456828[[#This Row],[einmalige
Kosten]]+(5*Tabelle98100456828[[#This Row],[jährliche
Kosten]])</f>
        <v>21600</v>
      </c>
      <c r="G32" s="33">
        <f>Tabelle98100456828[[#This Row],[einmalige
Kosten]]+(10*Tabelle98100456828[[#This Row],[jährliche
Kosten]])</f>
        <v>21600</v>
      </c>
      <c r="H32" s="5"/>
      <c r="I32" s="5"/>
      <c r="J32" s="5"/>
      <c r="K32" s="6"/>
    </row>
    <row r="33" spans="2:11" x14ac:dyDescent="0.25">
      <c r="B33" s="4"/>
      <c r="C33" s="9" t="s">
        <v>14</v>
      </c>
      <c r="D33" s="11">
        <v>7600</v>
      </c>
      <c r="E33" s="11"/>
      <c r="F33" s="11">
        <f>Tabelle98100456828[[#This Row],[einmalige
Kosten]]+(5*Tabelle98100456828[[#This Row],[jährliche
Kosten]])</f>
        <v>7600</v>
      </c>
      <c r="G33" s="11">
        <f>Tabelle98100456828[[#This Row],[einmalige
Kosten]]+(10*Tabelle98100456828[[#This Row],[jährliche
Kosten]])</f>
        <v>7600</v>
      </c>
      <c r="H33" s="5"/>
      <c r="I33" s="5"/>
      <c r="J33" s="5"/>
      <c r="K33" s="6"/>
    </row>
    <row r="34" spans="2:11" x14ac:dyDescent="0.25">
      <c r="B34" s="4"/>
      <c r="C34" s="9" t="s">
        <v>16</v>
      </c>
      <c r="D34" s="11"/>
      <c r="E34" s="11">
        <f>(C4*1000)*C6/100</f>
        <v>22263.599999999999</v>
      </c>
      <c r="F34" s="11">
        <f>Tabelle98100456828[[#This Row],[einmalige
Kosten]]+(5*Tabelle98100456828[[#This Row],[jährliche
Kosten]])</f>
        <v>111318</v>
      </c>
      <c r="G34" s="11">
        <f>Tabelle98100456828[[#This Row],[einmalige
Kosten]]+(10*Tabelle98100456828[[#This Row],[jährliche
Kosten]])</f>
        <v>222636</v>
      </c>
      <c r="H34" s="5"/>
      <c r="I34" s="5"/>
      <c r="J34" s="5"/>
      <c r="K34" s="6"/>
    </row>
    <row r="35" spans="2:11" x14ac:dyDescent="0.25">
      <c r="B35" s="4"/>
      <c r="C35" s="32" t="s">
        <v>54</v>
      </c>
      <c r="D35" s="33"/>
      <c r="E35" s="33">
        <f>(C8*C9*C10/100)*(-1)</f>
        <v>-21899.85</v>
      </c>
      <c r="F35" s="33">
        <f>Tabelle98100456828[[#This Row],[einmalige
Kosten]]+(5*Tabelle98100456828[[#This Row],[jährliche
Kosten]])</f>
        <v>-109499.25</v>
      </c>
      <c r="G35" s="33">
        <f>Tabelle98100456828[[#This Row],[einmalige
Kosten]]+(10*Tabelle98100456828[[#This Row],[jährliche
Kosten]])</f>
        <v>-218998.5</v>
      </c>
      <c r="H35" s="5"/>
      <c r="I35" s="5"/>
      <c r="J35" s="5"/>
      <c r="K35" s="6"/>
    </row>
    <row r="36" spans="2:11" x14ac:dyDescent="0.25">
      <c r="B36" s="4"/>
      <c r="C36" s="16" t="s">
        <v>18</v>
      </c>
      <c r="D36" s="17">
        <f>(SUM(D27:D35))*(1+D37)</f>
        <v>182577.6</v>
      </c>
      <c r="E36" s="17">
        <f>SUM(E27:E35)</f>
        <v>2863.75</v>
      </c>
      <c r="F36" s="17">
        <f>Tabelle98100456828[[#This Row],[einmalige
Kosten]]+(5*Tabelle98100456828[[#This Row],[jährliche
Kosten]])</f>
        <v>196896.35</v>
      </c>
      <c r="G36" s="17">
        <f>Tabelle98100456828[[#This Row],[einmalige
Kosten]]+(10*Tabelle98100456828[[#This Row],[jährliche
Kosten]])</f>
        <v>211215.1</v>
      </c>
      <c r="H36" s="5"/>
      <c r="I36" s="5"/>
      <c r="J36" s="5"/>
      <c r="K36" s="6"/>
    </row>
    <row r="37" spans="2:11" ht="15.75" thickBot="1" x14ac:dyDescent="0.3">
      <c r="B37" s="18"/>
      <c r="C37" s="19"/>
      <c r="D37" s="48"/>
      <c r="E37" s="19"/>
      <c r="F37" s="19"/>
      <c r="G37" s="19"/>
      <c r="H37" s="19"/>
      <c r="I37" s="19"/>
      <c r="J37" s="19"/>
      <c r="K37" s="20"/>
    </row>
  </sheetData>
  <pageMargins left="0.7" right="0.7" top="0.78740157499999996" bottom="0.78740157499999996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B1" sqref="B1"/>
    </sheetView>
  </sheetViews>
  <sheetFormatPr baseColWidth="10" defaultRowHeight="15" x14ac:dyDescent="0.25"/>
  <cols>
    <col min="1" max="1" width="28.42578125" customWidth="1"/>
    <col min="2" max="2" width="16.28515625" customWidth="1"/>
  </cols>
  <sheetData>
    <row r="1" spans="1:14" x14ac:dyDescent="0.25">
      <c r="A1" t="s">
        <v>47</v>
      </c>
      <c r="B1" s="22"/>
      <c r="C1" s="31"/>
    </row>
    <row r="2" spans="1:14" x14ac:dyDescent="0.25">
      <c r="A2" t="s">
        <v>24</v>
      </c>
      <c r="B2" s="22">
        <v>130</v>
      </c>
    </row>
    <row r="3" spans="1:14" x14ac:dyDescent="0.25">
      <c r="A3" t="s">
        <v>25</v>
      </c>
      <c r="B3" s="22">
        <f>B6/B2</f>
        <v>1695.3846153846155</v>
      </c>
    </row>
    <row r="4" spans="1:14" x14ac:dyDescent="0.25">
      <c r="A4" t="s">
        <v>26</v>
      </c>
      <c r="B4" s="22">
        <f>B6-B5</f>
        <v>176320</v>
      </c>
    </row>
    <row r="5" spans="1:14" x14ac:dyDescent="0.25">
      <c r="A5" t="s">
        <v>27</v>
      </c>
      <c r="B5" s="22">
        <f>B6*(B7/100)</f>
        <v>44080</v>
      </c>
    </row>
    <row r="6" spans="1:14" x14ac:dyDescent="0.25">
      <c r="A6" t="s">
        <v>28</v>
      </c>
      <c r="B6" s="22">
        <v>220400</v>
      </c>
    </row>
    <row r="7" spans="1:14" x14ac:dyDescent="0.25">
      <c r="A7" t="s">
        <v>29</v>
      </c>
      <c r="B7" s="22">
        <v>20</v>
      </c>
    </row>
    <row r="9" spans="1:14" x14ac:dyDescent="0.25">
      <c r="C9" s="23" t="s">
        <v>30</v>
      </c>
      <c r="D9" s="23" t="s">
        <v>31</v>
      </c>
      <c r="E9" s="23" t="s">
        <v>32</v>
      </c>
      <c r="F9" s="23" t="s">
        <v>33</v>
      </c>
      <c r="G9" s="23" t="s">
        <v>34</v>
      </c>
      <c r="H9" s="23" t="s">
        <v>35</v>
      </c>
      <c r="I9" s="23" t="s">
        <v>36</v>
      </c>
      <c r="J9" s="23" t="s">
        <v>37</v>
      </c>
      <c r="K9" s="23" t="s">
        <v>38</v>
      </c>
      <c r="L9" s="23" t="s">
        <v>39</v>
      </c>
      <c r="M9" s="23" t="s">
        <v>40</v>
      </c>
      <c r="N9" s="23" t="s">
        <v>41</v>
      </c>
    </row>
    <row r="10" spans="1:14" x14ac:dyDescent="0.25">
      <c r="A10" s="24" t="s">
        <v>26</v>
      </c>
      <c r="B10" s="25"/>
      <c r="C10" s="26">
        <f>(($B$4+C11)*C12)</f>
        <v>30723.760000000002</v>
      </c>
      <c r="D10" s="26">
        <f t="shared" ref="D10:N10" si="0">(($B$4+D11)*D12)</f>
        <v>27109.200000000001</v>
      </c>
      <c r="E10" s="26">
        <f t="shared" si="0"/>
        <v>23494.639999999999</v>
      </c>
      <c r="F10" s="26">
        <f t="shared" si="0"/>
        <v>14458.24</v>
      </c>
      <c r="G10" s="26">
        <f t="shared" si="0"/>
        <v>7229.12</v>
      </c>
      <c r="H10" s="26">
        <f t="shared" si="0"/>
        <v>2403.6823999999997</v>
      </c>
      <c r="I10" s="26">
        <f t="shared" si="0"/>
        <v>2403.6823999999997</v>
      </c>
      <c r="J10" s="26">
        <f t="shared" si="0"/>
        <v>2403.6823999999997</v>
      </c>
      <c r="K10" s="26">
        <f t="shared" si="0"/>
        <v>5421.84</v>
      </c>
      <c r="L10" s="26">
        <f t="shared" si="0"/>
        <v>14458.24</v>
      </c>
      <c r="M10" s="26">
        <f t="shared" si="0"/>
        <v>21687.360000000001</v>
      </c>
      <c r="N10" s="26">
        <f t="shared" si="0"/>
        <v>28916.48</v>
      </c>
    </row>
    <row r="11" spans="1:14" x14ac:dyDescent="0.25">
      <c r="A11" s="24" t="s">
        <v>27</v>
      </c>
      <c r="B11" s="25"/>
      <c r="C11" s="26">
        <f>B5*0.1</f>
        <v>4408</v>
      </c>
      <c r="D11" s="26">
        <f>B5*0.1</f>
        <v>4408</v>
      </c>
      <c r="E11" s="26">
        <f>B5*0.1</f>
        <v>4408</v>
      </c>
      <c r="F11" s="26">
        <f>B5*0.1</f>
        <v>4408</v>
      </c>
      <c r="G11" s="26">
        <f>B5*0.1</f>
        <v>4408</v>
      </c>
      <c r="H11" s="26">
        <f>B5*0.1</f>
        <v>4408</v>
      </c>
      <c r="I11" s="26">
        <f>B5*0.1</f>
        <v>4408</v>
      </c>
      <c r="J11" s="26">
        <f>B5*0.1</f>
        <v>4408</v>
      </c>
      <c r="K11" s="26">
        <f>B5*0.1</f>
        <v>4408</v>
      </c>
      <c r="L11" s="26">
        <f>B5*0.1</f>
        <v>4408</v>
      </c>
      <c r="M11" s="26">
        <f>B5*0.1</f>
        <v>4408</v>
      </c>
      <c r="N11" s="26">
        <f>B5*0.1</f>
        <v>4408</v>
      </c>
    </row>
    <row r="12" spans="1:14" x14ac:dyDescent="0.25">
      <c r="A12" s="27" t="s">
        <v>42</v>
      </c>
      <c r="B12" s="25"/>
      <c r="C12" s="28">
        <v>0.17</v>
      </c>
      <c r="D12" s="28">
        <v>0.15</v>
      </c>
      <c r="E12" s="28">
        <v>0.13</v>
      </c>
      <c r="F12" s="28">
        <v>0.08</v>
      </c>
      <c r="G12" s="28">
        <v>0.04</v>
      </c>
      <c r="H12" s="28">
        <v>1.3299999999999999E-2</v>
      </c>
      <c r="I12" s="28">
        <v>1.3299999999999999E-2</v>
      </c>
      <c r="J12" s="28">
        <v>1.3299999999999999E-2</v>
      </c>
      <c r="K12" s="28">
        <v>0.03</v>
      </c>
      <c r="L12" s="28">
        <v>0.08</v>
      </c>
      <c r="M12" s="28">
        <v>0.12</v>
      </c>
      <c r="N12" s="28">
        <v>0.16</v>
      </c>
    </row>
    <row r="13" spans="1:14" x14ac:dyDescent="0.25">
      <c r="A13" s="24" t="s">
        <v>43</v>
      </c>
      <c r="B13" s="25"/>
      <c r="C13" s="28">
        <f>(C10/(31*24))</f>
        <v>41.295376344086023</v>
      </c>
      <c r="D13" s="28">
        <f>(D10/(28*24))</f>
        <v>40.341071428571432</v>
      </c>
      <c r="E13" s="28">
        <f>(E10/(30*24))</f>
        <v>32.63144444444444</v>
      </c>
      <c r="F13" s="28">
        <f>(F10/(31*24))</f>
        <v>19.433118279569893</v>
      </c>
      <c r="G13" s="28">
        <f>(G10/(30*24))</f>
        <v>10.040444444444445</v>
      </c>
      <c r="H13" s="28">
        <f>(H10/(30*24))</f>
        <v>3.3384477777777772</v>
      </c>
      <c r="I13" s="28">
        <f>(I10/(31*24))</f>
        <v>3.230755913978494</v>
      </c>
      <c r="J13" s="28">
        <f>(J10/(31*24))</f>
        <v>3.230755913978494</v>
      </c>
      <c r="K13" s="28">
        <f>(K10/(30*24))</f>
        <v>7.5303333333333331</v>
      </c>
      <c r="L13" s="28">
        <f>(L10/(31*24))</f>
        <v>19.433118279569893</v>
      </c>
      <c r="M13" s="28">
        <f>(M10/(30*24))</f>
        <v>30.121333333333332</v>
      </c>
      <c r="N13" s="28">
        <f>(N10/(31*24))</f>
        <v>38.866236559139786</v>
      </c>
    </row>
    <row r="15" spans="1:14" x14ac:dyDescent="0.25">
      <c r="A15" s="29" t="s">
        <v>44</v>
      </c>
      <c r="B15" s="30">
        <f>B2</f>
        <v>130</v>
      </c>
      <c r="C15" s="28">
        <f>C13</f>
        <v>41.295376344086023</v>
      </c>
      <c r="D15" s="28">
        <f>D13</f>
        <v>40.341071428571432</v>
      </c>
      <c r="E15" s="28">
        <f>N13</f>
        <v>38.866236559139786</v>
      </c>
      <c r="F15" s="28">
        <f>E13</f>
        <v>32.63144444444444</v>
      </c>
      <c r="G15" s="28">
        <f>M13</f>
        <v>30.121333333333332</v>
      </c>
      <c r="H15" s="28">
        <f>F13</f>
        <v>19.433118279569893</v>
      </c>
      <c r="I15" s="28">
        <f>L13</f>
        <v>19.433118279569893</v>
      </c>
      <c r="J15" s="28">
        <f>G13</f>
        <v>10.040444444444445</v>
      </c>
      <c r="K15" s="28">
        <f>K13</f>
        <v>7.5303333333333331</v>
      </c>
      <c r="L15" s="28">
        <f>H13</f>
        <v>3.3384477777777772</v>
      </c>
      <c r="M15" s="28">
        <f>I13</f>
        <v>3.230755913978494</v>
      </c>
      <c r="N15" s="28">
        <f>J13</f>
        <v>3.230755913978494</v>
      </c>
    </row>
    <row r="16" spans="1:14" x14ac:dyDescent="0.25">
      <c r="A16" s="29" t="s">
        <v>45</v>
      </c>
      <c r="B16" s="30">
        <v>1</v>
      </c>
      <c r="C16" s="30">
        <v>744</v>
      </c>
      <c r="D16" s="30">
        <v>1416</v>
      </c>
      <c r="E16" s="30">
        <v>2160</v>
      </c>
      <c r="F16" s="30">
        <v>2880</v>
      </c>
      <c r="G16" s="30">
        <v>3624</v>
      </c>
      <c r="H16" s="30">
        <v>4344</v>
      </c>
      <c r="I16" s="30">
        <v>5088</v>
      </c>
      <c r="J16" s="30">
        <v>5832</v>
      </c>
      <c r="K16" s="30">
        <v>6552</v>
      </c>
      <c r="L16" s="30">
        <v>7296</v>
      </c>
      <c r="M16" s="30">
        <v>8016</v>
      </c>
      <c r="N16" s="30">
        <v>8760</v>
      </c>
    </row>
    <row r="17" spans="1:12" x14ac:dyDescent="0.25">
      <c r="A17" s="29" t="s">
        <v>46</v>
      </c>
      <c r="B17" s="22">
        <v>13.5</v>
      </c>
      <c r="C17" s="22">
        <v>13.5</v>
      </c>
      <c r="D17" s="22">
        <v>13.5</v>
      </c>
      <c r="E17" s="22">
        <v>13.5</v>
      </c>
      <c r="F17" s="22">
        <v>13.5</v>
      </c>
      <c r="G17" s="22">
        <v>13.5</v>
      </c>
      <c r="H17" s="22">
        <v>13.5</v>
      </c>
      <c r="I17" s="22">
        <v>13.5</v>
      </c>
      <c r="J17" s="22">
        <v>13.5</v>
      </c>
      <c r="K17" s="22"/>
      <c r="L17" s="22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7"/>
  <sheetViews>
    <sheetView topLeftCell="J21" workbookViewId="0">
      <selection activeCell="C45" sqref="C45:G55"/>
    </sheetView>
  </sheetViews>
  <sheetFormatPr baseColWidth="10" defaultRowHeight="15" x14ac:dyDescent="0.25"/>
  <cols>
    <col min="1" max="1" width="10.5703125" customWidth="1"/>
    <col min="2" max="2" width="17.85546875" bestFit="1" customWidth="1"/>
    <col min="3" max="3" width="23.7109375" bestFit="1" customWidth="1"/>
    <col min="4" max="4" width="14.42578125" bestFit="1" customWidth="1"/>
    <col min="8" max="8" width="36.140625" bestFit="1" customWidth="1"/>
    <col min="13" max="13" width="18.7109375" bestFit="1" customWidth="1"/>
  </cols>
  <sheetData>
    <row r="2" spans="1:20" ht="15.75" thickBot="1" x14ac:dyDescent="0.3">
      <c r="A2" s="5"/>
      <c r="C2" s="5"/>
    </row>
    <row r="3" spans="1:20" ht="18.75" thickBot="1" x14ac:dyDescent="0.3">
      <c r="B3" s="1" t="s">
        <v>71</v>
      </c>
      <c r="C3" s="36" t="s">
        <v>61</v>
      </c>
      <c r="D3" s="2"/>
      <c r="E3" s="2"/>
      <c r="F3" s="2"/>
      <c r="G3" s="2"/>
      <c r="H3" s="2"/>
      <c r="I3" s="2"/>
      <c r="J3" s="2"/>
      <c r="K3" s="3"/>
      <c r="M3" s="37" t="s">
        <v>77</v>
      </c>
      <c r="N3" s="2"/>
      <c r="O3" s="2"/>
      <c r="P3" s="2"/>
      <c r="Q3" s="2"/>
      <c r="R3" s="2"/>
      <c r="S3" s="2"/>
      <c r="T3" s="3"/>
    </row>
    <row r="4" spans="1:20" x14ac:dyDescent="0.25">
      <c r="B4" s="4"/>
      <c r="C4" s="5"/>
      <c r="D4" s="5"/>
      <c r="E4" s="5"/>
      <c r="F4" s="5"/>
      <c r="G4" s="5"/>
      <c r="H4" s="5"/>
      <c r="I4" s="5"/>
      <c r="J4" s="5"/>
      <c r="K4" s="6"/>
      <c r="M4" s="4"/>
      <c r="N4" s="38">
        <v>-0.15</v>
      </c>
      <c r="O4" s="38">
        <v>-0.1</v>
      </c>
      <c r="P4" s="38">
        <v>-0.05</v>
      </c>
      <c r="Q4" s="38">
        <v>0</v>
      </c>
      <c r="R4" s="38">
        <v>0.05</v>
      </c>
      <c r="S4" s="38">
        <v>0.1</v>
      </c>
      <c r="T4" s="39">
        <v>0.15</v>
      </c>
    </row>
    <row r="5" spans="1:20" x14ac:dyDescent="0.25">
      <c r="B5" s="7" t="s">
        <v>60</v>
      </c>
      <c r="C5" s="21">
        <v>259.29000000000002</v>
      </c>
      <c r="D5" s="8" t="s">
        <v>2</v>
      </c>
      <c r="E5" s="5"/>
      <c r="F5" s="5"/>
      <c r="G5" s="5"/>
      <c r="H5" s="5"/>
      <c r="I5" s="5"/>
      <c r="J5" s="5"/>
      <c r="K5" s="6"/>
      <c r="M5" s="40">
        <f>I16</f>
        <v>10.33239543726236</v>
      </c>
      <c r="N5" s="43">
        <f t="dataTable" ref="N5:T5" dt2D="0" dtr="1" r1="E10" ca="1"/>
        <v>10.585969581749049</v>
      </c>
      <c r="O5" s="43">
        <v>10.501444866920153</v>
      </c>
      <c r="P5" s="43">
        <v>10.416920152091256</v>
      </c>
      <c r="Q5" s="43">
        <v>10.33239543726236</v>
      </c>
      <c r="R5" s="43">
        <v>10.247870722433461</v>
      </c>
      <c r="S5" s="43">
        <v>10.163346007604563</v>
      </c>
      <c r="T5" s="44">
        <v>10.078821292775666</v>
      </c>
    </row>
    <row r="6" spans="1:20" x14ac:dyDescent="0.25">
      <c r="B6" s="7" t="s">
        <v>67</v>
      </c>
      <c r="C6" s="21">
        <v>210.4</v>
      </c>
      <c r="D6" s="5" t="s">
        <v>2</v>
      </c>
      <c r="E6" s="5"/>
      <c r="F6" s="5"/>
      <c r="G6" s="5"/>
      <c r="H6" s="5"/>
      <c r="I6" s="5"/>
      <c r="J6" s="5"/>
      <c r="K6" s="6"/>
      <c r="M6" s="4"/>
      <c r="N6" s="5"/>
      <c r="O6" s="5"/>
      <c r="P6" s="5"/>
      <c r="Q6" s="5"/>
      <c r="R6" s="5"/>
      <c r="S6" s="5"/>
      <c r="T6" s="6"/>
    </row>
    <row r="7" spans="1:20" x14ac:dyDescent="0.25">
      <c r="B7" s="7" t="s">
        <v>4</v>
      </c>
      <c r="C7" s="21">
        <f>6*(1+E7)</f>
        <v>6</v>
      </c>
      <c r="D7" s="8" t="s">
        <v>5</v>
      </c>
      <c r="E7" s="41"/>
      <c r="F7" s="5"/>
      <c r="G7" s="5"/>
      <c r="H7" s="5"/>
      <c r="I7" s="5"/>
      <c r="J7" s="5"/>
      <c r="K7" s="6"/>
      <c r="M7" s="4" t="s">
        <v>55</v>
      </c>
      <c r="N7" s="5"/>
      <c r="O7" s="5"/>
      <c r="P7" s="5"/>
      <c r="Q7" s="5"/>
      <c r="R7" s="5"/>
      <c r="S7" s="5"/>
      <c r="T7" s="6"/>
    </row>
    <row r="8" spans="1:20" x14ac:dyDescent="0.25">
      <c r="B8" s="7" t="s">
        <v>6</v>
      </c>
      <c r="C8" s="21">
        <v>81.900000000000006</v>
      </c>
      <c r="D8" s="8" t="s">
        <v>7</v>
      </c>
      <c r="E8" s="5"/>
      <c r="F8" s="5"/>
      <c r="G8" s="5"/>
      <c r="H8" s="5"/>
      <c r="I8" s="5"/>
      <c r="J8" s="5"/>
      <c r="K8" s="6"/>
      <c r="M8" s="4"/>
      <c r="N8" s="38">
        <v>-0.15</v>
      </c>
      <c r="O8" s="38">
        <v>-0.1</v>
      </c>
      <c r="P8" s="38">
        <v>-0.05</v>
      </c>
      <c r="Q8" s="38">
        <v>0</v>
      </c>
      <c r="R8" s="38">
        <v>0.05</v>
      </c>
      <c r="S8" s="38">
        <v>0.1</v>
      </c>
      <c r="T8" s="39">
        <v>0.15</v>
      </c>
    </row>
    <row r="9" spans="1:20" x14ac:dyDescent="0.25">
      <c r="B9" s="35" t="s">
        <v>56</v>
      </c>
      <c r="C9" s="21">
        <v>6</v>
      </c>
      <c r="D9" s="34" t="s">
        <v>57</v>
      </c>
      <c r="E9" s="5"/>
      <c r="F9" s="5"/>
      <c r="G9" s="5"/>
      <c r="H9" s="5"/>
      <c r="I9" s="5"/>
      <c r="J9" s="5"/>
      <c r="K9" s="6"/>
      <c r="M9" s="40">
        <f>I16</f>
        <v>10.33239543726236</v>
      </c>
      <c r="N9" s="43">
        <f t="dataTable" ref="N9:T9" dt2D="0" dtr="1" r1="E11"/>
        <v>10.585969581749049</v>
      </c>
      <c r="O9" s="43">
        <v>10.501444866920153</v>
      </c>
      <c r="P9" s="43">
        <v>10.416920152091256</v>
      </c>
      <c r="Q9" s="43">
        <v>10.33239543726236</v>
      </c>
      <c r="R9" s="43">
        <v>10.247870722433461</v>
      </c>
      <c r="S9" s="43">
        <v>10.163346007604563</v>
      </c>
      <c r="T9" s="44">
        <v>10.078821292775666</v>
      </c>
    </row>
    <row r="10" spans="1:20" x14ac:dyDescent="0.25">
      <c r="B10" s="35" t="s">
        <v>58</v>
      </c>
      <c r="C10" s="21">
        <f>5700*(1+E10)</f>
        <v>5700</v>
      </c>
      <c r="D10" s="34" t="s">
        <v>59</v>
      </c>
      <c r="E10" s="41"/>
      <c r="F10" s="5"/>
      <c r="G10" s="5"/>
      <c r="H10" s="5"/>
      <c r="I10" s="5"/>
      <c r="J10" s="5"/>
      <c r="K10" s="6"/>
      <c r="M10" s="4"/>
      <c r="N10" s="5"/>
      <c r="O10" s="5"/>
      <c r="P10" s="5"/>
      <c r="Q10" s="5"/>
      <c r="R10" s="5"/>
      <c r="S10" s="5"/>
      <c r="T10" s="6"/>
    </row>
    <row r="11" spans="1:20" x14ac:dyDescent="0.25">
      <c r="B11" s="4" t="s">
        <v>55</v>
      </c>
      <c r="C11" s="21">
        <f>13*(1+E11)</f>
        <v>13</v>
      </c>
      <c r="D11" s="34" t="s">
        <v>5</v>
      </c>
      <c r="E11" s="41"/>
      <c r="F11" s="5"/>
      <c r="G11" s="5"/>
      <c r="H11" s="5"/>
      <c r="I11" s="5"/>
      <c r="J11" s="5"/>
      <c r="K11" s="6"/>
      <c r="M11" s="4" t="s">
        <v>78</v>
      </c>
      <c r="N11" s="5"/>
      <c r="O11" s="5"/>
      <c r="P11" s="5"/>
      <c r="Q11" s="5"/>
      <c r="R11" s="5"/>
      <c r="S11" s="5"/>
      <c r="T11" s="6"/>
    </row>
    <row r="12" spans="1:20" x14ac:dyDescent="0.25">
      <c r="B12" s="4"/>
      <c r="C12" s="5"/>
      <c r="D12" s="5"/>
      <c r="E12" s="5"/>
      <c r="F12" s="5"/>
      <c r="G12" s="5"/>
      <c r="H12" s="5"/>
      <c r="I12" s="5"/>
      <c r="J12" s="5"/>
      <c r="K12" s="6"/>
      <c r="M12" s="4"/>
      <c r="N12" s="38">
        <v>-0.15</v>
      </c>
      <c r="O12" s="38">
        <v>-0.1</v>
      </c>
      <c r="P12" s="38">
        <v>-0.05</v>
      </c>
      <c r="Q12" s="38">
        <v>0</v>
      </c>
      <c r="R12" s="38">
        <v>0.05</v>
      </c>
      <c r="S12" s="38">
        <v>0.1</v>
      </c>
      <c r="T12" s="39">
        <v>0.15</v>
      </c>
    </row>
    <row r="13" spans="1:20" x14ac:dyDescent="0.25">
      <c r="B13" s="4"/>
      <c r="C13" s="5"/>
      <c r="D13" s="5"/>
      <c r="E13" s="5"/>
      <c r="F13" s="5"/>
      <c r="G13" s="5"/>
      <c r="H13" s="5"/>
      <c r="I13" s="5"/>
      <c r="J13" s="5"/>
      <c r="K13" s="6"/>
      <c r="M13" s="40">
        <f>I16</f>
        <v>10.33239543726236</v>
      </c>
      <c r="N13" s="43">
        <f t="dataTable" ref="N13:T13" dt2D="0" dtr="1" r1="D27" ca="1"/>
        <v>9.6951264258555145</v>
      </c>
      <c r="O13" s="43">
        <v>9.9075494296577968</v>
      </c>
      <c r="P13" s="43">
        <v>10.119972433460077</v>
      </c>
      <c r="Q13" s="43">
        <v>10.33239543726236</v>
      </c>
      <c r="R13" s="43">
        <v>10.54481844106464</v>
      </c>
      <c r="S13" s="43">
        <v>10.757241444866922</v>
      </c>
      <c r="T13" s="44">
        <v>10.969664448669205</v>
      </c>
    </row>
    <row r="14" spans="1:20" x14ac:dyDescent="0.25">
      <c r="B14" s="4"/>
      <c r="C14" s="5"/>
      <c r="D14" s="5"/>
      <c r="E14" s="5"/>
      <c r="F14" s="5"/>
      <c r="G14" s="5"/>
      <c r="H14" s="5"/>
      <c r="I14" s="5"/>
      <c r="J14" s="5"/>
      <c r="K14" s="6"/>
      <c r="M14" s="4"/>
      <c r="N14" s="5"/>
      <c r="O14" s="5"/>
      <c r="P14" s="5"/>
      <c r="Q14" s="5"/>
      <c r="R14" s="5"/>
      <c r="S14" s="5"/>
      <c r="T14" s="6"/>
    </row>
    <row r="15" spans="1:20" x14ac:dyDescent="0.25">
      <c r="B15" s="4"/>
      <c r="C15" s="5"/>
      <c r="D15" s="5"/>
      <c r="E15" s="5"/>
      <c r="F15" s="5"/>
      <c r="G15" s="5"/>
      <c r="H15" s="8" t="s">
        <v>15</v>
      </c>
      <c r="I15" s="14">
        <f>((C5*1000/0.774)*(C8/1000))/(C5*1000)*100</f>
        <v>10.581395348837209</v>
      </c>
      <c r="J15" s="8" t="s">
        <v>76</v>
      </c>
      <c r="K15" s="6"/>
      <c r="M15" s="4" t="s">
        <v>79</v>
      </c>
      <c r="N15" s="5"/>
      <c r="O15" s="5"/>
      <c r="P15" s="5"/>
      <c r="Q15" s="5"/>
      <c r="R15" s="5"/>
      <c r="S15" s="5"/>
      <c r="T15" s="6"/>
    </row>
    <row r="16" spans="1:20" ht="30" x14ac:dyDescent="0.25">
      <c r="B16" s="4"/>
      <c r="C16" s="9" t="s">
        <v>8</v>
      </c>
      <c r="D16" s="10" t="s">
        <v>9</v>
      </c>
      <c r="E16" s="10" t="s">
        <v>50</v>
      </c>
      <c r="F16" s="10" t="s">
        <v>10</v>
      </c>
      <c r="G16" s="10" t="s">
        <v>11</v>
      </c>
      <c r="H16" s="8" t="s">
        <v>17</v>
      </c>
      <c r="I16" s="14">
        <f>(G26/10)/(C6*1000)*100</f>
        <v>10.33239543726236</v>
      </c>
      <c r="J16" s="8" t="s">
        <v>76</v>
      </c>
      <c r="K16" s="6"/>
      <c r="M16" s="4"/>
      <c r="N16" s="38">
        <v>-0.15</v>
      </c>
      <c r="O16" s="38">
        <v>-0.1</v>
      </c>
      <c r="P16" s="38">
        <v>-0.05</v>
      </c>
      <c r="Q16" s="38">
        <v>0</v>
      </c>
      <c r="R16" s="38">
        <v>0.05</v>
      </c>
      <c r="S16" s="38">
        <v>0.1</v>
      </c>
      <c r="T16" s="39">
        <v>0.15</v>
      </c>
    </row>
    <row r="17" spans="2:21" x14ac:dyDescent="0.25">
      <c r="B17" s="4"/>
      <c r="C17" s="9" t="s">
        <v>20</v>
      </c>
      <c r="D17" s="11">
        <v>3777.6</v>
      </c>
      <c r="E17" s="11"/>
      <c r="F17" s="11">
        <f>Tabelle981004715[[#This Row],[einmalige
Kosten]]+(Tabelle981004715[[#This Row],[jährliche
Kosten]]*5)</f>
        <v>3777.6</v>
      </c>
      <c r="G17" s="11">
        <f>Tabelle981004715[[#This Row],[einmalige
Kosten]]+(10*Tabelle981004715[[#This Row],[jährliche
Kosten]])</f>
        <v>3777.6</v>
      </c>
      <c r="H17" s="5"/>
      <c r="I17" s="5"/>
      <c r="J17" s="5"/>
      <c r="K17" s="6"/>
      <c r="M17" s="40">
        <f>I16</f>
        <v>10.33239543726236</v>
      </c>
      <c r="N17" s="43">
        <f t="dataTable" ref="N17:T17" dt2D="0" dtr="1" r1="E7" ca="1"/>
        <v>9.2232652091254774</v>
      </c>
      <c r="O17" s="43">
        <v>9.5929752851711036</v>
      </c>
      <c r="P17" s="43">
        <v>9.9626853612167299</v>
      </c>
      <c r="Q17" s="43">
        <v>10.33239543726236</v>
      </c>
      <c r="R17" s="43">
        <v>10.702105513307986</v>
      </c>
      <c r="S17" s="43">
        <v>11.071815589353614</v>
      </c>
      <c r="T17" s="44">
        <v>11.441525665399238</v>
      </c>
    </row>
    <row r="18" spans="2:21" ht="15.75" thickBot="1" x14ac:dyDescent="0.3">
      <c r="B18" s="4"/>
      <c r="C18" s="9" t="s">
        <v>72</v>
      </c>
      <c r="D18" s="11">
        <v>9000</v>
      </c>
      <c r="E18" s="11">
        <v>300</v>
      </c>
      <c r="F18" s="11">
        <f>Tabelle981004715[[#This Row],[einmalige
Kosten]]+(Tabelle981004715[[#This Row],[jährliche
Kosten]]*5)</f>
        <v>10500</v>
      </c>
      <c r="G18" s="11">
        <f>Tabelle981004715[[#This Row],[einmalige
Kosten]]+(10*Tabelle981004715[[#This Row],[jährliche
Kosten]])</f>
        <v>12000</v>
      </c>
      <c r="H18" s="5"/>
      <c r="I18" s="5"/>
      <c r="J18" s="5"/>
      <c r="K18" s="6"/>
      <c r="M18" s="18"/>
      <c r="N18" s="19"/>
      <c r="O18" s="19"/>
      <c r="P18" s="19"/>
      <c r="Q18" s="19"/>
      <c r="R18" s="19"/>
      <c r="S18" s="19"/>
      <c r="T18" s="20"/>
    </row>
    <row r="19" spans="2:21" x14ac:dyDescent="0.25">
      <c r="B19" s="4"/>
      <c r="C19" s="9" t="s">
        <v>68</v>
      </c>
      <c r="D19" s="11">
        <v>40500</v>
      </c>
      <c r="E19" s="11"/>
      <c r="F19" s="11">
        <f>Tabelle981004715[[#This Row],[einmalige
Kosten]]+(Tabelle981004715[[#This Row],[jährliche
Kosten]]*5)</f>
        <v>40500</v>
      </c>
      <c r="G19" s="11">
        <f>Tabelle981004715[[#This Row],[einmalige
Kosten]]+(10*Tabelle981004715[[#This Row],[jährliche
Kosten]])</f>
        <v>40500</v>
      </c>
      <c r="H19" s="5"/>
      <c r="I19" s="5"/>
      <c r="J19" s="5"/>
      <c r="K19" s="6"/>
      <c r="N19" s="5"/>
      <c r="O19" s="5"/>
      <c r="P19" s="5"/>
      <c r="Q19" s="5"/>
      <c r="R19" s="5"/>
      <c r="S19" s="5"/>
      <c r="T19" s="5"/>
    </row>
    <row r="20" spans="2:21" x14ac:dyDescent="0.25">
      <c r="B20" s="4"/>
      <c r="C20" s="9" t="s">
        <v>23</v>
      </c>
      <c r="D20" s="11">
        <v>7600</v>
      </c>
      <c r="E20" s="11"/>
      <c r="F20" s="11">
        <f>Tabelle981004715[[#This Row],[einmalige
Kosten]]+(Tabelle981004715[[#This Row],[jährliche
Kosten]]*5)</f>
        <v>7600</v>
      </c>
      <c r="G20" s="11">
        <f>Tabelle981004715[[#This Row],[einmalige
Kosten]]+(10*Tabelle981004715[[#This Row],[jährliche
Kosten]])</f>
        <v>7600</v>
      </c>
      <c r="H20" s="5"/>
      <c r="I20" s="5"/>
      <c r="J20" s="5"/>
      <c r="K20" s="6"/>
      <c r="M20" s="5"/>
      <c r="N20" s="38"/>
      <c r="O20" s="38"/>
      <c r="P20" s="38"/>
      <c r="Q20" s="38"/>
      <c r="R20" s="38"/>
      <c r="S20" s="38"/>
      <c r="T20" s="38"/>
      <c r="U20" s="5"/>
    </row>
    <row r="21" spans="2:21" x14ac:dyDescent="0.25">
      <c r="B21" s="4"/>
      <c r="C21" s="32" t="s">
        <v>70</v>
      </c>
      <c r="D21" s="33">
        <v>18750</v>
      </c>
      <c r="E21" s="33">
        <v>500</v>
      </c>
      <c r="F21" s="11">
        <f>Tabelle981004715[[#This Row],[einmalige
Kosten]]+(Tabelle981004715[[#This Row],[jährliche
Kosten]]*5)</f>
        <v>21250</v>
      </c>
      <c r="G21" s="33">
        <f>Tabelle981004715[[#This Row],[einmalige
Kosten]]+(10*Tabelle981004715[[#This Row],[jährliche
Kosten]])</f>
        <v>23750</v>
      </c>
      <c r="H21" s="5"/>
      <c r="I21" s="5"/>
      <c r="J21" s="5"/>
      <c r="K21" s="6"/>
      <c r="M21" s="43"/>
      <c r="N21" s="5"/>
      <c r="O21" s="5"/>
      <c r="P21" s="5"/>
      <c r="Q21" s="5"/>
      <c r="R21" s="5"/>
      <c r="S21" s="5"/>
      <c r="T21" s="5"/>
      <c r="U21" s="5"/>
    </row>
    <row r="22" spans="2:21" x14ac:dyDescent="0.25">
      <c r="B22" s="4"/>
      <c r="C22" s="32" t="s">
        <v>53</v>
      </c>
      <c r="D22" s="33">
        <v>3600</v>
      </c>
      <c r="E22" s="33"/>
      <c r="F22" s="11">
        <f>Tabelle981004715[[#This Row],[einmalige
Kosten]]+(Tabelle981004715[[#This Row],[jährliche
Kosten]]*5)</f>
        <v>3600</v>
      </c>
      <c r="G22" s="33">
        <f>Tabelle981004715[[#This Row],[einmalige
Kosten]]+(10*Tabelle981004715[[#This Row],[jährliche
Kosten]])</f>
        <v>3600</v>
      </c>
      <c r="H22" s="5"/>
      <c r="I22" s="5"/>
      <c r="J22" s="5"/>
      <c r="K22" s="6"/>
      <c r="M22" s="5"/>
      <c r="N22" s="5"/>
      <c r="O22" s="5"/>
      <c r="P22" s="5"/>
      <c r="Q22" s="5"/>
      <c r="R22" s="5"/>
      <c r="S22" s="5"/>
      <c r="T22" s="5"/>
      <c r="U22" s="5"/>
    </row>
    <row r="23" spans="2:21" x14ac:dyDescent="0.25">
      <c r="B23" s="4"/>
      <c r="C23" s="9" t="s">
        <v>14</v>
      </c>
      <c r="D23" s="11">
        <v>6160</v>
      </c>
      <c r="E23" s="11"/>
      <c r="F23" s="11">
        <f>Tabelle981004715[[#This Row],[einmalige
Kosten]]+(Tabelle981004715[[#This Row],[jährliche
Kosten]]*5)</f>
        <v>6160</v>
      </c>
      <c r="G23" s="11">
        <f>Tabelle981004715[[#This Row],[einmalige
Kosten]]+(10*Tabelle981004715[[#This Row],[jährliche
Kosten]])</f>
        <v>6160</v>
      </c>
      <c r="H23" s="5"/>
      <c r="I23" s="5"/>
      <c r="J23" s="5"/>
      <c r="K23" s="6"/>
      <c r="M23" s="5"/>
      <c r="N23" s="5"/>
      <c r="O23" s="5"/>
      <c r="P23" s="5"/>
      <c r="Q23" s="5"/>
      <c r="R23" s="5"/>
      <c r="S23" s="5"/>
      <c r="T23" s="5"/>
      <c r="U23" s="5"/>
    </row>
    <row r="24" spans="2:21" x14ac:dyDescent="0.25">
      <c r="B24" s="4"/>
      <c r="C24" s="9" t="s">
        <v>16</v>
      </c>
      <c r="D24" s="11"/>
      <c r="E24" s="11">
        <f>(C5*1000)*C7/100</f>
        <v>15557.400000000001</v>
      </c>
      <c r="F24" s="11">
        <f>Tabelle981004715[[#This Row],[einmalige
Kosten]]+(Tabelle981004715[[#This Row],[jährliche
Kosten]]*5)</f>
        <v>77787</v>
      </c>
      <c r="G24" s="11">
        <f>Tabelle981004715[[#This Row],[einmalige
Kosten]]+(10*Tabelle981004715[[#This Row],[jährliche
Kosten]])</f>
        <v>155574</v>
      </c>
      <c r="H24" s="5"/>
      <c r="I24" s="5"/>
      <c r="J24" s="5"/>
      <c r="K24" s="6"/>
    </row>
    <row r="25" spans="2:21" x14ac:dyDescent="0.25">
      <c r="B25" s="4"/>
      <c r="C25" s="32" t="s">
        <v>54</v>
      </c>
      <c r="D25" s="33"/>
      <c r="E25" s="33">
        <f>(C9*C10*0.8*C11/100)*(-1)</f>
        <v>-3556.8</v>
      </c>
      <c r="F25" s="11">
        <f>Tabelle981004715[[#This Row],[einmalige
Kosten]]+(Tabelle981004715[[#This Row],[jährliche
Kosten]]*5)</f>
        <v>-17784</v>
      </c>
      <c r="G25" s="33">
        <f>Tabelle981004715[[#This Row],[einmalige
Kosten]]+(10*Tabelle981004715[[#This Row],[jährliche
Kosten]])</f>
        <v>-35568</v>
      </c>
      <c r="H25" s="5"/>
      <c r="I25" s="5"/>
      <c r="J25" s="5"/>
      <c r="K25" s="6"/>
    </row>
    <row r="26" spans="2:21" x14ac:dyDescent="0.25">
      <c r="B26" s="4"/>
      <c r="C26" s="16" t="s">
        <v>18</v>
      </c>
      <c r="D26" s="17">
        <f>SUM(D17:D25)*(1+D27)</f>
        <v>89387.6</v>
      </c>
      <c r="E26" s="17">
        <f>SUM(E17:E25)</f>
        <v>12800.600000000002</v>
      </c>
      <c r="F26" s="17">
        <f>Tabelle981004715[[#This Row],[einmalige
Kosten]]+(Tabelle981004715[[#This Row],[jährliche
Kosten]]*5)</f>
        <v>153390.60000000003</v>
      </c>
      <c r="G26" s="17">
        <f>Tabelle981004715[[#This Row],[einmalige
Kosten]]+(10*Tabelle981004715[[#This Row],[jährliche
Kosten]])</f>
        <v>217393.60000000003</v>
      </c>
      <c r="H26" s="5"/>
      <c r="I26" s="5"/>
      <c r="J26" s="5"/>
      <c r="K26" s="6"/>
    </row>
    <row r="27" spans="2:21" x14ac:dyDescent="0.25">
      <c r="B27" s="4"/>
      <c r="C27" s="5"/>
      <c r="D27" s="41"/>
      <c r="E27" s="5"/>
      <c r="F27" s="5"/>
      <c r="G27" s="5"/>
      <c r="H27" s="5"/>
      <c r="I27" s="5"/>
      <c r="J27" s="5"/>
      <c r="K27" s="6"/>
    </row>
    <row r="28" spans="2:21" ht="15.75" thickBo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20"/>
    </row>
    <row r="31" spans="2:21" ht="15.75" thickBot="1" x14ac:dyDescent="0.3"/>
    <row r="32" spans="2:21" ht="18.75" thickBot="1" x14ac:dyDescent="0.3">
      <c r="B32" s="1" t="s">
        <v>71</v>
      </c>
      <c r="C32" s="36" t="s">
        <v>62</v>
      </c>
      <c r="D32" s="2"/>
      <c r="E32" s="2"/>
      <c r="F32" s="2"/>
      <c r="G32" s="2"/>
      <c r="H32" s="2"/>
      <c r="I32" s="2"/>
      <c r="J32" s="2"/>
      <c r="K32" s="3"/>
      <c r="M32" s="37" t="s">
        <v>77</v>
      </c>
      <c r="N32" s="2"/>
      <c r="O32" s="2"/>
      <c r="P32" s="2"/>
      <c r="Q32" s="2"/>
      <c r="R32" s="2"/>
      <c r="S32" s="2"/>
      <c r="T32" s="3"/>
    </row>
    <row r="33" spans="2:20" x14ac:dyDescent="0.25">
      <c r="B33" s="4"/>
      <c r="C33" s="5"/>
      <c r="D33" s="5"/>
      <c r="E33" s="5"/>
      <c r="F33" s="5"/>
      <c r="G33" s="5"/>
      <c r="H33" s="5"/>
      <c r="I33" s="5"/>
      <c r="J33" s="5"/>
      <c r="K33" s="6"/>
      <c r="M33" s="4"/>
      <c r="N33" s="38">
        <v>-0.15</v>
      </c>
      <c r="O33" s="38">
        <v>-0.1</v>
      </c>
      <c r="P33" s="38">
        <v>-0.05</v>
      </c>
      <c r="Q33" s="38">
        <v>0</v>
      </c>
      <c r="R33" s="38">
        <v>0.05</v>
      </c>
      <c r="S33" s="38">
        <v>0.1</v>
      </c>
      <c r="T33" s="39">
        <v>0.15</v>
      </c>
    </row>
    <row r="34" spans="2:20" x14ac:dyDescent="0.25">
      <c r="B34" s="7" t="s">
        <v>60</v>
      </c>
      <c r="C34" s="21">
        <v>259.29000000000002</v>
      </c>
      <c r="D34" s="8" t="s">
        <v>2</v>
      </c>
      <c r="E34" s="5"/>
      <c r="F34" s="5"/>
      <c r="G34" s="5"/>
      <c r="H34" s="5"/>
      <c r="I34" s="5"/>
      <c r="J34" s="5"/>
      <c r="K34" s="6"/>
      <c r="M34" s="40">
        <f>I45</f>
        <v>7.6783193916349832</v>
      </c>
      <c r="N34" s="43">
        <f t="dataTable" ref="N34:T34" dt2D="0" dtr="1" r1="E39"/>
        <v>8.330004942965779</v>
      </c>
      <c r="O34" s="43">
        <v>8.1127764258555146</v>
      </c>
      <c r="P34" s="43">
        <v>7.8955479087452503</v>
      </c>
      <c r="Q34" s="43">
        <v>7.6783193916349832</v>
      </c>
      <c r="R34" s="43">
        <v>7.4610908745247144</v>
      </c>
      <c r="S34" s="43">
        <v>7.2438623574144492</v>
      </c>
      <c r="T34" s="44">
        <v>7.0266338403041848</v>
      </c>
    </row>
    <row r="35" spans="2:20" x14ac:dyDescent="0.25">
      <c r="B35" s="7" t="s">
        <v>67</v>
      </c>
      <c r="C35" s="21">
        <v>210.4</v>
      </c>
      <c r="D35" s="5" t="s">
        <v>2</v>
      </c>
      <c r="E35" s="5"/>
      <c r="F35" s="5"/>
      <c r="G35" s="5"/>
      <c r="H35" s="5"/>
      <c r="I35" s="5"/>
      <c r="J35" s="5"/>
      <c r="K35" s="6"/>
      <c r="M35" s="4"/>
      <c r="N35" s="5"/>
      <c r="O35" s="5"/>
      <c r="P35" s="5"/>
      <c r="Q35" s="5"/>
      <c r="R35" s="5"/>
      <c r="S35" s="5"/>
      <c r="T35" s="6"/>
    </row>
    <row r="36" spans="2:20" x14ac:dyDescent="0.25">
      <c r="B36" s="7" t="s">
        <v>4</v>
      </c>
      <c r="C36" s="21">
        <f>6*(1+E36)</f>
        <v>6</v>
      </c>
      <c r="D36" s="8" t="s">
        <v>5</v>
      </c>
      <c r="E36" s="41"/>
      <c r="F36" s="5"/>
      <c r="G36" s="5"/>
      <c r="H36" s="5"/>
      <c r="I36" s="5"/>
      <c r="J36" s="5"/>
      <c r="K36" s="6"/>
      <c r="M36" s="4" t="s">
        <v>55</v>
      </c>
      <c r="N36" s="5"/>
      <c r="O36" s="5"/>
      <c r="P36" s="5"/>
      <c r="Q36" s="5"/>
      <c r="R36" s="5"/>
      <c r="S36" s="5"/>
      <c r="T36" s="6"/>
    </row>
    <row r="37" spans="2:20" x14ac:dyDescent="0.25">
      <c r="B37" s="7" t="s">
        <v>6</v>
      </c>
      <c r="C37" s="21">
        <v>81.900000000000006</v>
      </c>
      <c r="D37" s="8" t="s">
        <v>7</v>
      </c>
      <c r="E37" s="5"/>
      <c r="F37" s="5"/>
      <c r="G37" s="5"/>
      <c r="H37" s="5"/>
      <c r="I37" s="5"/>
      <c r="J37" s="5"/>
      <c r="K37" s="6"/>
      <c r="M37" s="4"/>
      <c r="N37" s="38">
        <v>-0.15</v>
      </c>
      <c r="O37" s="38">
        <v>-0.1</v>
      </c>
      <c r="P37" s="38">
        <v>-0.05</v>
      </c>
      <c r="Q37" s="38">
        <v>0</v>
      </c>
      <c r="R37" s="38">
        <v>0.05</v>
      </c>
      <c r="S37" s="38">
        <v>0.1</v>
      </c>
      <c r="T37" s="39">
        <v>0.15</v>
      </c>
    </row>
    <row r="38" spans="2:20" x14ac:dyDescent="0.25">
      <c r="B38" s="35" t="s">
        <v>56</v>
      </c>
      <c r="C38" s="21">
        <v>6</v>
      </c>
      <c r="D38" s="34" t="s">
        <v>57</v>
      </c>
      <c r="E38" s="5"/>
      <c r="F38" s="5"/>
      <c r="G38" s="5"/>
      <c r="H38" s="5"/>
      <c r="I38" s="5"/>
      <c r="J38" s="5"/>
      <c r="K38" s="6"/>
      <c r="M38" s="40">
        <f>I45</f>
        <v>7.6783193916349832</v>
      </c>
      <c r="N38" s="43">
        <f t="dataTable" ref="N38:T38" dt2D="0" dtr="1" r1="E40" ca="1"/>
        <v>7.6783193916349832</v>
      </c>
      <c r="O38" s="43">
        <v>7.6783193916349832</v>
      </c>
      <c r="P38" s="43">
        <v>7.6783193916349832</v>
      </c>
      <c r="Q38" s="43">
        <v>7.6783193916349832</v>
      </c>
      <c r="R38" s="43">
        <v>7.6783193916349832</v>
      </c>
      <c r="S38" s="43">
        <v>7.6783193916349832</v>
      </c>
      <c r="T38" s="44">
        <v>7.6783193916349832</v>
      </c>
    </row>
    <row r="39" spans="2:20" x14ac:dyDescent="0.25">
      <c r="B39" s="35" t="s">
        <v>58</v>
      </c>
      <c r="C39" s="21">
        <f>5700*(1+E39)</f>
        <v>5700</v>
      </c>
      <c r="D39" s="34" t="s">
        <v>59</v>
      </c>
      <c r="E39" s="41"/>
      <c r="F39" s="5"/>
      <c r="G39" s="5"/>
      <c r="H39" s="5"/>
      <c r="I39" s="5"/>
      <c r="J39" s="5"/>
      <c r="K39" s="6"/>
      <c r="M39" s="4"/>
      <c r="N39" s="5"/>
      <c r="O39" s="5"/>
      <c r="P39" s="5"/>
      <c r="Q39" s="5"/>
      <c r="R39" s="5"/>
      <c r="S39" s="5"/>
      <c r="T39" s="6"/>
    </row>
    <row r="40" spans="2:20" x14ac:dyDescent="0.25">
      <c r="B40" s="4" t="s">
        <v>55</v>
      </c>
      <c r="C40" s="21">
        <v>33.409999999999997</v>
      </c>
      <c r="D40" s="34" t="s">
        <v>5</v>
      </c>
      <c r="E40" s="41"/>
      <c r="F40" s="5"/>
      <c r="G40" s="5"/>
      <c r="H40" s="5"/>
      <c r="I40" s="5"/>
      <c r="J40" s="5"/>
      <c r="K40" s="6"/>
      <c r="M40" s="4" t="s">
        <v>78</v>
      </c>
      <c r="N40" s="5"/>
      <c r="O40" s="5"/>
      <c r="P40" s="5"/>
      <c r="Q40" s="5"/>
      <c r="R40" s="5"/>
      <c r="S40" s="5"/>
      <c r="T40" s="6"/>
    </row>
    <row r="41" spans="2:20" x14ac:dyDescent="0.25">
      <c r="B41" s="4"/>
      <c r="C41" s="5"/>
      <c r="D41" s="5"/>
      <c r="E41" s="5"/>
      <c r="F41" s="5"/>
      <c r="G41" s="5"/>
      <c r="H41" s="5"/>
      <c r="I41" s="5"/>
      <c r="J41" s="5"/>
      <c r="K41" s="6"/>
      <c r="M41" s="4"/>
      <c r="N41" s="38">
        <v>-0.15</v>
      </c>
      <c r="O41" s="38">
        <v>-0.1</v>
      </c>
      <c r="P41" s="38">
        <v>-0.05</v>
      </c>
      <c r="Q41" s="38">
        <v>0</v>
      </c>
      <c r="R41" s="38">
        <v>0.05</v>
      </c>
      <c r="S41" s="38">
        <v>0.1</v>
      </c>
      <c r="T41" s="39">
        <v>0.15</v>
      </c>
    </row>
    <row r="42" spans="2:20" x14ac:dyDescent="0.25">
      <c r="B42" s="4"/>
      <c r="C42" s="5"/>
      <c r="D42" s="5"/>
      <c r="E42" s="5"/>
      <c r="F42" s="5"/>
      <c r="G42" s="5"/>
      <c r="H42" s="5"/>
      <c r="I42" s="5"/>
      <c r="J42" s="5"/>
      <c r="K42" s="6"/>
      <c r="M42" s="40">
        <f>I45</f>
        <v>7.6783193916349832</v>
      </c>
      <c r="N42" s="43">
        <f t="dataTable" ref="N42:T42" dt2D="0" dtr="1" r1="D56" ca="1"/>
        <v>7.0410503802281381</v>
      </c>
      <c r="O42" s="43">
        <v>7.2534733840304195</v>
      </c>
      <c r="P42" s="43">
        <v>7.4658963878327</v>
      </c>
      <c r="Q42" s="43">
        <v>7.6783193916349832</v>
      </c>
      <c r="R42" s="43">
        <v>7.8907423954372637</v>
      </c>
      <c r="S42" s="43">
        <v>8.1031653992395469</v>
      </c>
      <c r="T42" s="44">
        <v>8.3155884030418257</v>
      </c>
    </row>
    <row r="43" spans="2:20" x14ac:dyDescent="0.25">
      <c r="B43" s="4"/>
      <c r="C43" s="5"/>
      <c r="D43" s="5"/>
      <c r="E43" s="5"/>
      <c r="F43" s="5"/>
      <c r="G43" s="5"/>
      <c r="H43" s="5"/>
      <c r="I43" s="5"/>
      <c r="J43" s="5"/>
      <c r="K43" s="6"/>
      <c r="M43" s="4"/>
      <c r="N43" s="5"/>
      <c r="O43" s="5"/>
      <c r="P43" s="5"/>
      <c r="Q43" s="5"/>
      <c r="R43" s="5"/>
      <c r="S43" s="5"/>
      <c r="T43" s="6"/>
    </row>
    <row r="44" spans="2:20" x14ac:dyDescent="0.25">
      <c r="B44" s="4"/>
      <c r="C44" s="5"/>
      <c r="D44" s="5"/>
      <c r="E44" s="5"/>
      <c r="F44" s="5"/>
      <c r="G44" s="5"/>
      <c r="H44" s="8" t="s">
        <v>15</v>
      </c>
      <c r="I44" s="14">
        <f>((C34*1000/0.774)*(C37/1000))/(C34*1000)*100</f>
        <v>10.581395348837209</v>
      </c>
      <c r="J44" s="8" t="s">
        <v>76</v>
      </c>
      <c r="K44" s="6"/>
      <c r="M44" s="4" t="s">
        <v>79</v>
      </c>
      <c r="N44" s="5"/>
      <c r="O44" s="5"/>
      <c r="P44" s="5"/>
      <c r="Q44" s="5"/>
      <c r="R44" s="5"/>
      <c r="S44" s="5"/>
      <c r="T44" s="6"/>
    </row>
    <row r="45" spans="2:20" ht="30" x14ac:dyDescent="0.25">
      <c r="B45" s="4"/>
      <c r="C45" s="9" t="s">
        <v>8</v>
      </c>
      <c r="D45" s="10" t="s">
        <v>9</v>
      </c>
      <c r="E45" s="10" t="s">
        <v>50</v>
      </c>
      <c r="F45" s="10" t="s">
        <v>10</v>
      </c>
      <c r="G45" s="10" t="s">
        <v>11</v>
      </c>
      <c r="H45" s="8" t="s">
        <v>17</v>
      </c>
      <c r="I45" s="14">
        <f>(G55/10)/(C35*1000)*100</f>
        <v>7.6783193916349832</v>
      </c>
      <c r="J45" s="8" t="s">
        <v>76</v>
      </c>
      <c r="K45" s="6"/>
      <c r="M45" s="4"/>
      <c r="N45" s="38">
        <v>-0.15</v>
      </c>
      <c r="O45" s="38">
        <v>-0.1</v>
      </c>
      <c r="P45" s="38">
        <v>-0.05</v>
      </c>
      <c r="Q45" s="38">
        <v>0</v>
      </c>
      <c r="R45" s="38">
        <v>0.05</v>
      </c>
      <c r="S45" s="38">
        <v>0.1</v>
      </c>
      <c r="T45" s="39">
        <v>0.15</v>
      </c>
    </row>
    <row r="46" spans="2:20" x14ac:dyDescent="0.25">
      <c r="B46" s="4"/>
      <c r="C46" s="9" t="s">
        <v>20</v>
      </c>
      <c r="D46" s="11">
        <v>3777.6</v>
      </c>
      <c r="E46" s="11"/>
      <c r="F46" s="11">
        <f>Tabelle98100471512[[#This Row],[einmalige
Kosten]]+(Tabelle98100471512[[#This Row],[jährliche
Kosten]]*5)</f>
        <v>3777.6</v>
      </c>
      <c r="G46" s="11">
        <f>Tabelle98100471512[[#This Row],[einmalige
Kosten]]+(10*Tabelle98100471512[[#This Row],[jährliche
Kosten]])</f>
        <v>3777.6</v>
      </c>
      <c r="H46" s="5"/>
      <c r="I46" s="5"/>
      <c r="J46" s="5"/>
      <c r="K46" s="6"/>
      <c r="M46" s="40">
        <f>I45</f>
        <v>7.6783193916349832</v>
      </c>
      <c r="N46" s="43">
        <f t="dataTable" ref="N46:T46" dt2D="0" dtr="1" r1="E36" ca="1"/>
        <v>6.5691891634981001</v>
      </c>
      <c r="O46" s="43">
        <v>6.9388992395437281</v>
      </c>
      <c r="P46" s="43">
        <v>7.3086093155893552</v>
      </c>
      <c r="Q46" s="43">
        <v>7.6783193916349832</v>
      </c>
      <c r="R46" s="43">
        <v>8.0480294676806121</v>
      </c>
      <c r="S46" s="43">
        <v>8.4177395437262383</v>
      </c>
      <c r="T46" s="44">
        <v>8.7874496197718646</v>
      </c>
    </row>
    <row r="47" spans="2:20" ht="15.75" thickBot="1" x14ac:dyDescent="0.3">
      <c r="B47" s="4"/>
      <c r="C47" s="9" t="s">
        <v>72</v>
      </c>
      <c r="D47" s="11">
        <v>9000</v>
      </c>
      <c r="E47" s="11">
        <v>300</v>
      </c>
      <c r="F47" s="11">
        <f>Tabelle98100471512[[#This Row],[einmalige
Kosten]]+(Tabelle98100471512[[#This Row],[jährliche
Kosten]]*5)</f>
        <v>10500</v>
      </c>
      <c r="G47" s="11">
        <f>Tabelle98100471512[[#This Row],[einmalige
Kosten]]+(10*Tabelle98100471512[[#This Row],[jährliche
Kosten]])</f>
        <v>12000</v>
      </c>
      <c r="H47" s="5"/>
      <c r="I47" s="5"/>
      <c r="J47" s="5"/>
      <c r="K47" s="6"/>
      <c r="M47" s="18"/>
      <c r="N47" s="19"/>
      <c r="O47" s="19"/>
      <c r="P47" s="19"/>
      <c r="Q47" s="19"/>
      <c r="R47" s="19"/>
      <c r="S47" s="19"/>
      <c r="T47" s="20"/>
    </row>
    <row r="48" spans="2:20" x14ac:dyDescent="0.25">
      <c r="B48" s="4"/>
      <c r="C48" s="9" t="s">
        <v>68</v>
      </c>
      <c r="D48" s="11">
        <v>40500</v>
      </c>
      <c r="E48" s="11"/>
      <c r="F48" s="11">
        <f>Tabelle98100471512[[#This Row],[einmalige
Kosten]]+(Tabelle98100471512[[#This Row],[jährliche
Kosten]]*5)</f>
        <v>40500</v>
      </c>
      <c r="G48" s="11">
        <f>Tabelle98100471512[[#This Row],[einmalige
Kosten]]+(10*Tabelle98100471512[[#This Row],[jährliche
Kosten]])</f>
        <v>40500</v>
      </c>
      <c r="H48" s="5"/>
      <c r="I48" s="5"/>
      <c r="J48" s="5"/>
      <c r="K48" s="6"/>
    </row>
    <row r="49" spans="2:11" x14ac:dyDescent="0.25">
      <c r="B49" s="4"/>
      <c r="C49" s="9" t="s">
        <v>23</v>
      </c>
      <c r="D49" s="11">
        <v>7600</v>
      </c>
      <c r="E49" s="11"/>
      <c r="F49" s="11">
        <f>Tabelle98100471512[[#This Row],[einmalige
Kosten]]+(Tabelle98100471512[[#This Row],[jährliche
Kosten]]*5)</f>
        <v>7600</v>
      </c>
      <c r="G49" s="11">
        <f>Tabelle98100471512[[#This Row],[einmalige
Kosten]]+(10*Tabelle98100471512[[#This Row],[jährliche
Kosten]])</f>
        <v>7600</v>
      </c>
      <c r="H49" s="5"/>
      <c r="I49" s="5"/>
      <c r="J49" s="5"/>
      <c r="K49" s="6"/>
    </row>
    <row r="50" spans="2:11" x14ac:dyDescent="0.25">
      <c r="B50" s="4"/>
      <c r="C50" s="32" t="s">
        <v>70</v>
      </c>
      <c r="D50" s="33">
        <v>18750</v>
      </c>
      <c r="E50" s="33">
        <v>500</v>
      </c>
      <c r="F50" s="11">
        <f>Tabelle98100471512[[#This Row],[einmalige
Kosten]]+(Tabelle98100471512[[#This Row],[jährliche
Kosten]]*5)</f>
        <v>21250</v>
      </c>
      <c r="G50" s="33">
        <f>Tabelle98100471512[[#This Row],[einmalige
Kosten]]+(10*Tabelle98100471512[[#This Row],[jährliche
Kosten]])</f>
        <v>23750</v>
      </c>
      <c r="H50" s="5"/>
      <c r="I50" s="5"/>
      <c r="J50" s="5"/>
      <c r="K50" s="6"/>
    </row>
    <row r="51" spans="2:11" x14ac:dyDescent="0.25">
      <c r="B51" s="4"/>
      <c r="C51" s="32" t="s">
        <v>53</v>
      </c>
      <c r="D51" s="33">
        <v>3600</v>
      </c>
      <c r="E51" s="33"/>
      <c r="F51" s="11">
        <f>Tabelle98100471512[[#This Row],[einmalige
Kosten]]+(Tabelle98100471512[[#This Row],[jährliche
Kosten]]*5)</f>
        <v>3600</v>
      </c>
      <c r="G51" s="33">
        <f>Tabelle98100471512[[#This Row],[einmalige
Kosten]]+(10*Tabelle98100471512[[#This Row],[jährliche
Kosten]])</f>
        <v>3600</v>
      </c>
      <c r="H51" s="5"/>
      <c r="I51" s="5"/>
      <c r="J51" s="5"/>
      <c r="K51" s="6"/>
    </row>
    <row r="52" spans="2:11" x14ac:dyDescent="0.25">
      <c r="B52" s="4"/>
      <c r="C52" s="9" t="s">
        <v>14</v>
      </c>
      <c r="D52" s="11">
        <v>6160</v>
      </c>
      <c r="E52" s="11"/>
      <c r="F52" s="11">
        <f>Tabelle98100471512[[#This Row],[einmalige
Kosten]]+(Tabelle98100471512[[#This Row],[jährliche
Kosten]]*5)</f>
        <v>6160</v>
      </c>
      <c r="G52" s="11">
        <f>Tabelle98100471512[[#This Row],[einmalige
Kosten]]+(10*Tabelle98100471512[[#This Row],[jährliche
Kosten]])</f>
        <v>6160</v>
      </c>
      <c r="H52" s="5"/>
      <c r="I52" s="5"/>
      <c r="J52" s="5"/>
      <c r="K52" s="6"/>
    </row>
    <row r="53" spans="2:11" x14ac:dyDescent="0.25">
      <c r="B53" s="4"/>
      <c r="C53" s="9" t="s">
        <v>16</v>
      </c>
      <c r="D53" s="11"/>
      <c r="E53" s="11">
        <f>(C34*1000)*C36/100</f>
        <v>15557.400000000001</v>
      </c>
      <c r="F53" s="11">
        <f>Tabelle98100471512[[#This Row],[einmalige
Kosten]]+(Tabelle98100471512[[#This Row],[jährliche
Kosten]]*5)</f>
        <v>77787</v>
      </c>
      <c r="G53" s="11">
        <f>Tabelle98100471512[[#This Row],[einmalige
Kosten]]+(10*Tabelle98100471512[[#This Row],[jährliche
Kosten]])</f>
        <v>155574</v>
      </c>
      <c r="H53" s="5"/>
      <c r="I53" s="5"/>
      <c r="J53" s="5"/>
      <c r="K53" s="6"/>
    </row>
    <row r="54" spans="2:11" x14ac:dyDescent="0.25">
      <c r="B54" s="4"/>
      <c r="C54" s="32" t="s">
        <v>54</v>
      </c>
      <c r="D54" s="33"/>
      <c r="E54" s="33">
        <f>(C38*C39*0.8*C40/100)*(-1)</f>
        <v>-9140.9759999999987</v>
      </c>
      <c r="F54" s="11">
        <f>Tabelle98100471512[[#This Row],[einmalige
Kosten]]+(Tabelle98100471512[[#This Row],[jährliche
Kosten]]*5)</f>
        <v>-45704.87999999999</v>
      </c>
      <c r="G54" s="33">
        <f>Tabelle98100471512[[#This Row],[einmalige
Kosten]]+(10*Tabelle98100471512[[#This Row],[jährliche
Kosten]])</f>
        <v>-91409.75999999998</v>
      </c>
      <c r="H54" s="5"/>
      <c r="I54" s="5"/>
      <c r="J54" s="5"/>
      <c r="K54" s="6"/>
    </row>
    <row r="55" spans="2:11" x14ac:dyDescent="0.25">
      <c r="B55" s="4"/>
      <c r="C55" s="16" t="s">
        <v>18</v>
      </c>
      <c r="D55" s="17">
        <f>SUM(D46:D54)*(1+D56)</f>
        <v>89387.6</v>
      </c>
      <c r="E55" s="17">
        <f>SUM(E46:E54)</f>
        <v>7216.4240000000027</v>
      </c>
      <c r="F55" s="17">
        <f>Tabelle98100471512[[#This Row],[einmalige
Kosten]]+(Tabelle98100471512[[#This Row],[jährliche
Kosten]]*5)</f>
        <v>125469.72000000002</v>
      </c>
      <c r="G55" s="17">
        <f>Tabelle98100471512[[#This Row],[einmalige
Kosten]]+(10*Tabelle98100471512[[#This Row],[jährliche
Kosten]])</f>
        <v>161551.84000000003</v>
      </c>
      <c r="H55" s="5"/>
      <c r="I55" s="5"/>
      <c r="J55" s="5"/>
      <c r="K55" s="6"/>
    </row>
    <row r="56" spans="2:11" x14ac:dyDescent="0.25">
      <c r="B56" s="4"/>
      <c r="C56" s="5"/>
      <c r="D56" s="41"/>
      <c r="E56" s="5"/>
      <c r="F56" s="5"/>
      <c r="G56" s="5"/>
      <c r="H56" s="5"/>
      <c r="I56" s="5"/>
      <c r="J56" s="5"/>
      <c r="K56" s="6"/>
    </row>
    <row r="57" spans="2:11" ht="15.75" thickBot="1" x14ac:dyDescent="0.3">
      <c r="B57" s="18"/>
      <c r="C57" s="19"/>
      <c r="D57" s="19"/>
      <c r="E57" s="19"/>
      <c r="F57" s="19"/>
      <c r="G57" s="19"/>
      <c r="H57" s="19"/>
      <c r="I57" s="19"/>
      <c r="J57" s="19"/>
      <c r="K57" s="20"/>
    </row>
  </sheetData>
  <pageMargins left="0.7" right="0.7" top="0.78740157499999996" bottom="0.78740157499999996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9"/>
  <sheetViews>
    <sheetView tabSelected="1" workbookViewId="0">
      <selection activeCell="C46" sqref="C46:G57"/>
    </sheetView>
  </sheetViews>
  <sheetFormatPr baseColWidth="10" defaultRowHeight="15" x14ac:dyDescent="0.25"/>
  <cols>
    <col min="1" max="1" width="10.5703125" customWidth="1"/>
    <col min="2" max="2" width="17.85546875" bestFit="1" customWidth="1"/>
    <col min="3" max="3" width="23.7109375" bestFit="1" customWidth="1"/>
    <col min="4" max="4" width="14.42578125" bestFit="1" customWidth="1"/>
    <col min="8" max="8" width="36.140625" bestFit="1" customWidth="1"/>
    <col min="13" max="13" width="18.7109375" bestFit="1" customWidth="1"/>
  </cols>
  <sheetData>
    <row r="2" spans="1:20" ht="15.75" thickBot="1" x14ac:dyDescent="0.3">
      <c r="A2" s="5"/>
      <c r="C2" s="5"/>
    </row>
    <row r="3" spans="1:20" ht="18.75" thickBot="1" x14ac:dyDescent="0.3">
      <c r="B3" s="1" t="s">
        <v>80</v>
      </c>
      <c r="C3" s="36" t="s">
        <v>61</v>
      </c>
      <c r="D3" s="2"/>
      <c r="E3" s="2"/>
      <c r="F3" s="2"/>
      <c r="G3" s="2"/>
      <c r="H3" s="2"/>
      <c r="I3" s="2"/>
      <c r="J3" s="2"/>
      <c r="K3" s="3"/>
      <c r="M3" s="37" t="s">
        <v>77</v>
      </c>
      <c r="N3" s="2"/>
      <c r="O3" s="2"/>
      <c r="P3" s="2"/>
      <c r="Q3" s="2"/>
      <c r="R3" s="2"/>
      <c r="S3" s="2"/>
      <c r="T3" s="3"/>
    </row>
    <row r="4" spans="1:20" x14ac:dyDescent="0.25">
      <c r="B4" s="4"/>
      <c r="C4" s="5"/>
      <c r="D4" s="5"/>
      <c r="E4" s="5"/>
      <c r="F4" s="5"/>
      <c r="G4" s="5"/>
      <c r="H4" s="5"/>
      <c r="I4" s="5"/>
      <c r="J4" s="5"/>
      <c r="K4" s="6"/>
      <c r="M4" s="4"/>
      <c r="N4" s="38">
        <v>-0.15</v>
      </c>
      <c r="O4" s="38">
        <v>-0.1</v>
      </c>
      <c r="P4" s="38">
        <v>-0.05</v>
      </c>
      <c r="Q4" s="38">
        <v>0</v>
      </c>
      <c r="R4" s="38">
        <v>0.05</v>
      </c>
      <c r="S4" s="38">
        <v>0.1</v>
      </c>
      <c r="T4" s="39">
        <v>0.15</v>
      </c>
    </row>
    <row r="5" spans="1:20" x14ac:dyDescent="0.25">
      <c r="B5" s="7" t="s">
        <v>60</v>
      </c>
      <c r="C5" s="21">
        <v>259.29000000000002</v>
      </c>
      <c r="D5" s="8" t="s">
        <v>2</v>
      </c>
      <c r="E5" s="5"/>
      <c r="F5" s="5"/>
      <c r="G5" s="5"/>
      <c r="H5" s="5"/>
      <c r="I5" s="5"/>
      <c r="J5" s="5"/>
      <c r="K5" s="6"/>
      <c r="M5" s="40">
        <f>I16</f>
        <v>12.345104562737644</v>
      </c>
      <c r="N5" s="43">
        <f t="dataTable" ref="N5:T5" dt2D="0" dtr="1" r1="E10" ca="1"/>
        <v>12.598678707224337</v>
      </c>
      <c r="O5" s="43">
        <v>12.514153992395441</v>
      </c>
      <c r="P5" s="43">
        <v>12.429629277566541</v>
      </c>
      <c r="Q5" s="43">
        <v>12.345104562737644</v>
      </c>
      <c r="R5" s="43">
        <v>12.260579847908746</v>
      </c>
      <c r="S5" s="43">
        <v>12.176055133079849</v>
      </c>
      <c r="T5" s="44">
        <v>12.091530418250951</v>
      </c>
    </row>
    <row r="6" spans="1:20" x14ac:dyDescent="0.25">
      <c r="B6" s="7" t="s">
        <v>67</v>
      </c>
      <c r="C6" s="21">
        <v>210.4</v>
      </c>
      <c r="D6" s="5" t="s">
        <v>2</v>
      </c>
      <c r="E6" s="5"/>
      <c r="F6" s="5"/>
      <c r="G6" s="5"/>
      <c r="H6" s="5"/>
      <c r="I6" s="5"/>
      <c r="J6" s="5"/>
      <c r="K6" s="6"/>
      <c r="M6" s="4"/>
      <c r="N6" s="5"/>
      <c r="O6" s="5"/>
      <c r="P6" s="5"/>
      <c r="Q6" s="5"/>
      <c r="R6" s="5"/>
      <c r="S6" s="5"/>
      <c r="T6" s="6"/>
    </row>
    <row r="7" spans="1:20" x14ac:dyDescent="0.25">
      <c r="B7" s="7" t="s">
        <v>4</v>
      </c>
      <c r="C7" s="21">
        <f>6*(1+E7)</f>
        <v>6</v>
      </c>
      <c r="D7" s="8" t="s">
        <v>5</v>
      </c>
      <c r="E7" s="41"/>
      <c r="F7" s="5"/>
      <c r="G7" s="5"/>
      <c r="H7" s="5"/>
      <c r="I7" s="5"/>
      <c r="J7" s="5"/>
      <c r="K7" s="6"/>
      <c r="M7" s="4" t="s">
        <v>55</v>
      </c>
      <c r="N7" s="5"/>
      <c r="O7" s="5"/>
      <c r="P7" s="5"/>
      <c r="Q7" s="5"/>
      <c r="R7" s="5"/>
      <c r="S7" s="5"/>
      <c r="T7" s="6"/>
    </row>
    <row r="8" spans="1:20" x14ac:dyDescent="0.25">
      <c r="B8" s="7" t="s">
        <v>6</v>
      </c>
      <c r="C8" s="21">
        <v>81.900000000000006</v>
      </c>
      <c r="D8" s="8" t="s">
        <v>7</v>
      </c>
      <c r="E8" s="5"/>
      <c r="F8" s="5"/>
      <c r="G8" s="5"/>
      <c r="H8" s="5"/>
      <c r="I8" s="5"/>
      <c r="J8" s="5"/>
      <c r="K8" s="6"/>
      <c r="M8" s="4"/>
      <c r="N8" s="38">
        <v>-0.15</v>
      </c>
      <c r="O8" s="38">
        <v>-0.1</v>
      </c>
      <c r="P8" s="38">
        <v>-0.05</v>
      </c>
      <c r="Q8" s="38">
        <v>0</v>
      </c>
      <c r="R8" s="38">
        <v>0.05</v>
      </c>
      <c r="S8" s="38">
        <v>0.1</v>
      </c>
      <c r="T8" s="39">
        <v>0.15</v>
      </c>
    </row>
    <row r="9" spans="1:20" x14ac:dyDescent="0.25">
      <c r="B9" s="35" t="s">
        <v>56</v>
      </c>
      <c r="C9" s="21">
        <v>6</v>
      </c>
      <c r="D9" s="34" t="s">
        <v>57</v>
      </c>
      <c r="E9" s="5"/>
      <c r="F9" s="5"/>
      <c r="G9" s="5"/>
      <c r="H9" s="5"/>
      <c r="I9" s="5"/>
      <c r="J9" s="5"/>
      <c r="K9" s="6"/>
      <c r="M9" s="40">
        <f>I16</f>
        <v>12.345104562737644</v>
      </c>
      <c r="N9" s="43">
        <f t="dataTable" ref="N9:T9" dt2D="0" dtr="1" r1="E11"/>
        <v>12.598678707224337</v>
      </c>
      <c r="O9" s="43">
        <v>12.514153992395441</v>
      </c>
      <c r="P9" s="43">
        <v>12.429629277566541</v>
      </c>
      <c r="Q9" s="43">
        <v>12.345104562737644</v>
      </c>
      <c r="R9" s="43">
        <v>12.260579847908746</v>
      </c>
      <c r="S9" s="43">
        <v>12.176055133079849</v>
      </c>
      <c r="T9" s="44">
        <v>12.091530418250951</v>
      </c>
    </row>
    <row r="10" spans="1:20" x14ac:dyDescent="0.25">
      <c r="B10" s="35" t="s">
        <v>58</v>
      </c>
      <c r="C10" s="21">
        <f>5700*(1+E10)</f>
        <v>5700</v>
      </c>
      <c r="D10" s="34" t="s">
        <v>59</v>
      </c>
      <c r="E10" s="41"/>
      <c r="F10" s="5"/>
      <c r="G10" s="5"/>
      <c r="H10" s="5"/>
      <c r="I10" s="5"/>
      <c r="J10" s="5"/>
      <c r="K10" s="6"/>
      <c r="M10" s="4"/>
      <c r="N10" s="5"/>
      <c r="O10" s="5"/>
      <c r="P10" s="5"/>
      <c r="Q10" s="5"/>
      <c r="R10" s="5"/>
      <c r="S10" s="5"/>
      <c r="T10" s="6"/>
    </row>
    <row r="11" spans="1:20" x14ac:dyDescent="0.25">
      <c r="B11" s="4" t="s">
        <v>55</v>
      </c>
      <c r="C11" s="21">
        <f>13*(1+E11)</f>
        <v>13</v>
      </c>
      <c r="D11" s="34" t="s">
        <v>5</v>
      </c>
      <c r="E11" s="41"/>
      <c r="F11" s="5"/>
      <c r="G11" s="5"/>
      <c r="H11" s="5"/>
      <c r="I11" s="5"/>
      <c r="J11" s="5"/>
      <c r="K11" s="6"/>
      <c r="M11" s="4" t="s">
        <v>78</v>
      </c>
      <c r="N11" s="5"/>
      <c r="O11" s="5"/>
      <c r="P11" s="5"/>
      <c r="Q11" s="5"/>
      <c r="R11" s="5"/>
      <c r="S11" s="5"/>
      <c r="T11" s="6"/>
    </row>
    <row r="12" spans="1:20" x14ac:dyDescent="0.25">
      <c r="B12" s="4"/>
      <c r="C12" s="5"/>
      <c r="D12" s="5"/>
      <c r="E12" s="5"/>
      <c r="F12" s="5"/>
      <c r="G12" s="5"/>
      <c r="H12" s="5"/>
      <c r="I12" s="5"/>
      <c r="J12" s="5"/>
      <c r="K12" s="6"/>
      <c r="M12" s="4"/>
      <c r="N12" s="38">
        <v>-0.15</v>
      </c>
      <c r="O12" s="38">
        <v>-0.1</v>
      </c>
      <c r="P12" s="38">
        <v>-0.05</v>
      </c>
      <c r="Q12" s="38">
        <v>0</v>
      </c>
      <c r="R12" s="38">
        <v>0.05</v>
      </c>
      <c r="S12" s="38">
        <v>0.1</v>
      </c>
      <c r="T12" s="39">
        <v>0.15</v>
      </c>
    </row>
    <row r="13" spans="1:20" x14ac:dyDescent="0.25">
      <c r="B13" s="4"/>
      <c r="C13" s="5"/>
      <c r="D13" s="5"/>
      <c r="E13" s="5"/>
      <c r="F13" s="5"/>
      <c r="G13" s="5"/>
      <c r="H13" s="5"/>
      <c r="I13" s="5"/>
      <c r="J13" s="5"/>
      <c r="K13" s="6"/>
      <c r="M13" s="40">
        <f>I16</f>
        <v>12.345104562737644</v>
      </c>
      <c r="N13" s="43">
        <f t="dataTable" ref="N13:T13" dt2D="0" dtr="1" r1="D28" ca="1"/>
        <v>11.405929182509508</v>
      </c>
      <c r="O13" s="43">
        <v>11.718987642585553</v>
      </c>
      <c r="P13" s="43">
        <v>12.032046102661598</v>
      </c>
      <c r="Q13" s="43">
        <v>12.345104562737644</v>
      </c>
      <c r="R13" s="43">
        <v>12.658163022813691</v>
      </c>
      <c r="S13" s="43">
        <v>12.971221482889733</v>
      </c>
      <c r="T13" s="44">
        <v>13.28427994296578</v>
      </c>
    </row>
    <row r="14" spans="1:20" x14ac:dyDescent="0.25">
      <c r="B14" s="4"/>
      <c r="C14" s="5"/>
      <c r="D14" s="5"/>
      <c r="E14" s="5"/>
      <c r="F14" s="5"/>
      <c r="G14" s="5"/>
      <c r="H14" s="5"/>
      <c r="I14" s="5"/>
      <c r="J14" s="5"/>
      <c r="K14" s="6"/>
      <c r="M14" s="4"/>
      <c r="N14" s="5"/>
      <c r="O14" s="5"/>
      <c r="P14" s="5"/>
      <c r="Q14" s="5"/>
      <c r="R14" s="5"/>
      <c r="S14" s="5"/>
      <c r="T14" s="6"/>
    </row>
    <row r="15" spans="1:20" x14ac:dyDescent="0.25">
      <c r="B15" s="4"/>
      <c r="C15" s="5"/>
      <c r="D15" s="5"/>
      <c r="E15" s="5"/>
      <c r="F15" s="5"/>
      <c r="G15" s="5"/>
      <c r="H15" s="8" t="s">
        <v>15</v>
      </c>
      <c r="I15" s="14">
        <f>((C5*1000/0.774)*(C8/1000))/(C5*1000)*100</f>
        <v>10.581395348837209</v>
      </c>
      <c r="J15" s="8" t="s">
        <v>76</v>
      </c>
      <c r="K15" s="6"/>
      <c r="M15" s="4" t="s">
        <v>79</v>
      </c>
      <c r="N15" s="5"/>
      <c r="O15" s="5"/>
      <c r="P15" s="5"/>
      <c r="Q15" s="5"/>
      <c r="R15" s="5"/>
      <c r="S15" s="5"/>
      <c r="T15" s="6"/>
    </row>
    <row r="16" spans="1:20" ht="30" x14ac:dyDescent="0.25">
      <c r="B16" s="4"/>
      <c r="C16" s="9" t="s">
        <v>8</v>
      </c>
      <c r="D16" s="10" t="s">
        <v>9</v>
      </c>
      <c r="E16" s="10" t="s">
        <v>50</v>
      </c>
      <c r="F16" s="10" t="s">
        <v>10</v>
      </c>
      <c r="G16" s="10" t="s">
        <v>11</v>
      </c>
      <c r="H16" s="8" t="s">
        <v>17</v>
      </c>
      <c r="I16" s="14">
        <f>(G27/10)/(C6*1000)*100</f>
        <v>12.345104562737644</v>
      </c>
      <c r="J16" s="8" t="s">
        <v>76</v>
      </c>
      <c r="K16" s="6"/>
      <c r="M16" s="4"/>
      <c r="N16" s="38">
        <v>-0.15</v>
      </c>
      <c r="O16" s="38">
        <v>-0.1</v>
      </c>
      <c r="P16" s="38">
        <v>-0.05</v>
      </c>
      <c r="Q16" s="38">
        <v>0</v>
      </c>
      <c r="R16" s="38">
        <v>0.05</v>
      </c>
      <c r="S16" s="38">
        <v>0.1</v>
      </c>
      <c r="T16" s="39">
        <v>0.15</v>
      </c>
    </row>
    <row r="17" spans="2:21" x14ac:dyDescent="0.25">
      <c r="B17" s="4"/>
      <c r="C17" s="9" t="s">
        <v>75</v>
      </c>
      <c r="D17" s="11">
        <v>3525</v>
      </c>
      <c r="E17" s="11"/>
      <c r="F17" s="11">
        <f>Tabelle9810047917[[#This Row],[einmalige
Kosten]]+(5*Tabelle9810047917[[#This Row],[jährliche
Kosten]])</f>
        <v>3525</v>
      </c>
      <c r="G17" s="11">
        <f>Tabelle9810047917[[#This Row],[einmalige
Kosten]]+(10*Tabelle9810047917[[#This Row],[jährliche
Kosten]])</f>
        <v>3525</v>
      </c>
      <c r="H17" s="5"/>
      <c r="I17" s="5"/>
      <c r="J17" s="5"/>
      <c r="K17" s="6"/>
      <c r="M17" s="40">
        <f>I16</f>
        <v>12.345104562737644</v>
      </c>
      <c r="N17" s="43">
        <f t="dataTable" ref="N17:T17" dt2D="0" dtr="1" r1="E7" ca="1"/>
        <v>11.23597433460076</v>
      </c>
      <c r="O17" s="43">
        <v>11.605684410646388</v>
      </c>
      <c r="P17" s="43">
        <v>11.975394486692014</v>
      </c>
      <c r="Q17" s="43">
        <v>12.345104562737644</v>
      </c>
      <c r="R17" s="43">
        <v>12.714814638783272</v>
      </c>
      <c r="S17" s="43">
        <v>13.084524714828898</v>
      </c>
      <c r="T17" s="44">
        <v>13.454234790874525</v>
      </c>
    </row>
    <row r="18" spans="2:21" ht="15.75" thickBot="1" x14ac:dyDescent="0.3">
      <c r="B18" s="4"/>
      <c r="C18" s="9" t="s">
        <v>69</v>
      </c>
      <c r="D18" s="11">
        <v>9000</v>
      </c>
      <c r="E18" s="11">
        <v>300</v>
      </c>
      <c r="F18" s="11">
        <f>Tabelle9810047917[[#This Row],[einmalige
Kosten]]+(5*Tabelle9810047917[[#This Row],[jährliche
Kosten]])</f>
        <v>10500</v>
      </c>
      <c r="G18" s="11">
        <f>Tabelle9810047917[[#This Row],[einmalige
Kosten]]+(10*Tabelle9810047917[[#This Row],[jährliche
Kosten]])</f>
        <v>12000</v>
      </c>
      <c r="H18" s="5"/>
      <c r="I18" s="5"/>
      <c r="J18" s="5"/>
      <c r="K18" s="6"/>
      <c r="M18" s="18"/>
      <c r="N18" s="19"/>
      <c r="O18" s="19"/>
      <c r="P18" s="19"/>
      <c r="Q18" s="19"/>
      <c r="R18" s="19"/>
      <c r="S18" s="19"/>
      <c r="T18" s="20"/>
    </row>
    <row r="19" spans="2:21" x14ac:dyDescent="0.25">
      <c r="B19" s="4"/>
      <c r="C19" s="9" t="s">
        <v>68</v>
      </c>
      <c r="D19" s="11">
        <v>40500</v>
      </c>
      <c r="E19" s="11"/>
      <c r="F19" s="11">
        <f>Tabelle9810047917[[#This Row],[einmalige
Kosten]]+(5*Tabelle9810047917[[#This Row],[jährliche
Kosten]])</f>
        <v>40500</v>
      </c>
      <c r="G19" s="11">
        <f>Tabelle9810047917[[#This Row],[einmalige
Kosten]]+(10*Tabelle9810047917[[#This Row],[jährliche
Kosten]])</f>
        <v>40500</v>
      </c>
      <c r="H19" s="5"/>
      <c r="I19" s="5"/>
      <c r="J19" s="5"/>
      <c r="K19" s="6"/>
      <c r="N19" s="5"/>
      <c r="O19" s="5"/>
      <c r="P19" s="5"/>
      <c r="Q19" s="5"/>
      <c r="R19" s="5"/>
      <c r="S19" s="5"/>
      <c r="T19" s="5"/>
    </row>
    <row r="20" spans="2:21" x14ac:dyDescent="0.25">
      <c r="B20" s="4"/>
      <c r="C20" s="9" t="s">
        <v>73</v>
      </c>
      <c r="D20" s="11">
        <v>15200</v>
      </c>
      <c r="E20" s="11"/>
      <c r="F20" s="11">
        <f>Tabelle9810047917[[#This Row],[einmalige
Kosten]]+(5*Tabelle9810047917[[#This Row],[jährliche
Kosten]])</f>
        <v>15200</v>
      </c>
      <c r="G20" s="11">
        <f>Tabelle9810047917[[#This Row],[einmalige
Kosten]]+(10*Tabelle9810047917[[#This Row],[jährliche
Kosten]])</f>
        <v>15200</v>
      </c>
      <c r="H20" s="5"/>
      <c r="I20" s="5"/>
      <c r="J20" s="5"/>
      <c r="K20" s="6"/>
      <c r="M20" s="5"/>
      <c r="N20" s="38"/>
      <c r="O20" s="38"/>
      <c r="P20" s="38"/>
      <c r="Q20" s="38"/>
      <c r="R20" s="38"/>
      <c r="S20" s="38"/>
      <c r="T20" s="38"/>
      <c r="U20" s="5"/>
    </row>
    <row r="21" spans="2:21" x14ac:dyDescent="0.25">
      <c r="B21" s="4"/>
      <c r="C21" s="32" t="s">
        <v>70</v>
      </c>
      <c r="D21" s="33">
        <v>18750</v>
      </c>
      <c r="E21" s="33">
        <v>500</v>
      </c>
      <c r="F21" s="11">
        <f>Tabelle9810047917[[#This Row],[einmalige
Kosten]]+(5*Tabelle9810047917[[#This Row],[jährliche
Kosten]])</f>
        <v>21250</v>
      </c>
      <c r="G21" s="33">
        <f>Tabelle9810047917[[#This Row],[einmalige
Kosten]]+(10*Tabelle9810047917[[#This Row],[jährliche
Kosten]])</f>
        <v>23750</v>
      </c>
      <c r="H21" s="5"/>
      <c r="I21" s="5"/>
      <c r="J21" s="5"/>
      <c r="K21" s="6"/>
      <c r="M21" s="43"/>
      <c r="N21" s="5"/>
      <c r="O21" s="5"/>
      <c r="P21" s="5"/>
      <c r="Q21" s="5"/>
      <c r="R21" s="5"/>
      <c r="S21" s="5"/>
      <c r="T21" s="5"/>
      <c r="U21" s="5"/>
    </row>
    <row r="22" spans="2:21" x14ac:dyDescent="0.25">
      <c r="B22" s="4"/>
      <c r="C22" s="32" t="s">
        <v>53</v>
      </c>
      <c r="D22" s="33">
        <v>3600</v>
      </c>
      <c r="E22" s="33"/>
      <c r="F22" s="11">
        <f>Tabelle9810047917[[#This Row],[einmalige
Kosten]]+(5*Tabelle9810047917[[#This Row],[jährliche
Kosten]])</f>
        <v>3600</v>
      </c>
      <c r="G22" s="33">
        <f>Tabelle9810047917[[#This Row],[einmalige
Kosten]]+(10*Tabelle9810047917[[#This Row],[jährliche
Kosten]])</f>
        <v>3600</v>
      </c>
      <c r="H22" s="5"/>
      <c r="I22" s="5"/>
      <c r="J22" s="5"/>
      <c r="K22" s="6"/>
      <c r="M22" s="5"/>
      <c r="N22" s="5"/>
      <c r="O22" s="5"/>
      <c r="P22" s="5"/>
      <c r="Q22" s="5"/>
      <c r="R22" s="5"/>
      <c r="S22" s="5"/>
      <c r="T22" s="5"/>
      <c r="U22" s="5"/>
    </row>
    <row r="23" spans="2:21" x14ac:dyDescent="0.25">
      <c r="B23" s="4"/>
      <c r="C23" s="9" t="s">
        <v>14</v>
      </c>
      <c r="D23" s="11">
        <v>6160</v>
      </c>
      <c r="E23" s="11"/>
      <c r="F23" s="11">
        <f>Tabelle9810047917[[#This Row],[einmalige
Kosten]]+(5*Tabelle9810047917[[#This Row],[jährliche
Kosten]])</f>
        <v>6160</v>
      </c>
      <c r="G23" s="11">
        <f>Tabelle9810047917[[#This Row],[einmalige
Kosten]]+(10*Tabelle9810047917[[#This Row],[jährliche
Kosten]])</f>
        <v>6160</v>
      </c>
      <c r="H23" s="5"/>
      <c r="I23" s="5"/>
      <c r="J23" s="5"/>
      <c r="K23" s="6"/>
      <c r="M23" s="5"/>
      <c r="N23" s="5"/>
      <c r="O23" s="5"/>
      <c r="P23" s="5"/>
      <c r="Q23" s="5"/>
      <c r="R23" s="5"/>
      <c r="S23" s="5"/>
      <c r="T23" s="5"/>
      <c r="U23" s="5"/>
    </row>
    <row r="24" spans="2:21" x14ac:dyDescent="0.25">
      <c r="B24" s="4"/>
      <c r="C24" s="32" t="s">
        <v>74</v>
      </c>
      <c r="D24" s="33">
        <v>35000</v>
      </c>
      <c r="E24" s="33"/>
      <c r="F24" s="11">
        <f>Tabelle9810047917[[#This Row],[einmalige
Kosten]]+(5*Tabelle9810047917[[#This Row],[jährliche
Kosten]])</f>
        <v>35000</v>
      </c>
      <c r="G24" s="33">
        <f>Tabelle9810047917[[#This Row],[einmalige
Kosten]]+(10*Tabelle9810047917[[#This Row],[jährliche
Kosten]])</f>
        <v>35000</v>
      </c>
      <c r="H24" s="5"/>
      <c r="I24" s="5"/>
      <c r="J24" s="5"/>
      <c r="K24" s="6"/>
    </row>
    <row r="25" spans="2:21" x14ac:dyDescent="0.25">
      <c r="B25" s="4"/>
      <c r="C25" s="9" t="s">
        <v>16</v>
      </c>
      <c r="D25" s="11"/>
      <c r="E25" s="11">
        <f>(C5*1000)*C7/100</f>
        <v>15557.400000000001</v>
      </c>
      <c r="F25" s="11">
        <f>Tabelle9810047917[[#This Row],[einmalige
Kosten]]+(5*Tabelle9810047917[[#This Row],[jährliche
Kosten]])</f>
        <v>77787</v>
      </c>
      <c r="G25" s="11">
        <f>Tabelle9810047917[[#This Row],[einmalige
Kosten]]+(10*Tabelle9810047917[[#This Row],[jährliche
Kosten]])</f>
        <v>155574</v>
      </c>
      <c r="H25" s="5"/>
      <c r="I25" s="5"/>
      <c r="J25" s="5"/>
      <c r="K25" s="6"/>
    </row>
    <row r="26" spans="2:21" x14ac:dyDescent="0.25">
      <c r="B26" s="4"/>
      <c r="C26" s="32" t="s">
        <v>54</v>
      </c>
      <c r="D26" s="33"/>
      <c r="E26" s="33">
        <f>(C9*C10*0.8*C11/100)*(-1)</f>
        <v>-3556.8</v>
      </c>
      <c r="F26" s="11">
        <f>Tabelle9810047917[[#This Row],[einmalige
Kosten]]+(5*Tabelle9810047917[[#This Row],[jährliche
Kosten]])</f>
        <v>-17784</v>
      </c>
      <c r="G26" s="33">
        <f>Tabelle9810047917[[#This Row],[einmalige
Kosten]]+(10*Tabelle9810047917[[#This Row],[jährliche
Kosten]])</f>
        <v>-35568</v>
      </c>
      <c r="H26" s="5"/>
      <c r="I26" s="5"/>
      <c r="J26" s="5"/>
      <c r="K26" s="6"/>
    </row>
    <row r="27" spans="2:21" x14ac:dyDescent="0.25">
      <c r="B27" s="4"/>
      <c r="C27" s="16" t="s">
        <v>18</v>
      </c>
      <c r="D27" s="17">
        <f>SUM(D17:D26)*(1+D28)</f>
        <v>131735</v>
      </c>
      <c r="E27" s="17">
        <f>SUM(E17:E26)</f>
        <v>12800.600000000002</v>
      </c>
      <c r="F27" s="17">
        <f>Tabelle9810047917[[#This Row],[einmalige
Kosten]]+(5*Tabelle9810047917[[#This Row],[jährliche
Kosten]])</f>
        <v>195738</v>
      </c>
      <c r="G27" s="17">
        <f>Tabelle9810047917[[#This Row],[einmalige
Kosten]]+(10*Tabelle9810047917[[#This Row],[jährliche
Kosten]])</f>
        <v>259741.00000000003</v>
      </c>
      <c r="H27" s="5"/>
      <c r="I27" s="5"/>
      <c r="J27" s="5"/>
      <c r="K27" s="6"/>
    </row>
    <row r="28" spans="2:21" x14ac:dyDescent="0.25">
      <c r="B28" s="4"/>
      <c r="C28" s="5"/>
      <c r="D28" s="41"/>
      <c r="E28" s="5"/>
      <c r="F28" s="5"/>
      <c r="G28" s="5"/>
      <c r="H28" s="5"/>
      <c r="I28" s="5"/>
      <c r="J28" s="5"/>
      <c r="K28" s="6"/>
    </row>
    <row r="29" spans="2:21" ht="15.75" thickBo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2:2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2" spans="2:21" ht="15.75" thickBot="1" x14ac:dyDescent="0.3"/>
    <row r="33" spans="2:20" ht="18.75" thickBot="1" x14ac:dyDescent="0.3">
      <c r="B33" s="1" t="s">
        <v>80</v>
      </c>
      <c r="C33" s="36" t="s">
        <v>62</v>
      </c>
      <c r="D33" s="2"/>
      <c r="E33" s="2"/>
      <c r="F33" s="2"/>
      <c r="G33" s="2"/>
      <c r="H33" s="2"/>
      <c r="I33" s="2"/>
      <c r="J33" s="2"/>
      <c r="K33" s="3"/>
      <c r="M33" s="37" t="s">
        <v>77</v>
      </c>
      <c r="N33" s="2"/>
      <c r="O33" s="2"/>
      <c r="P33" s="2"/>
      <c r="Q33" s="2"/>
      <c r="R33" s="2"/>
      <c r="S33" s="2"/>
      <c r="T33" s="3"/>
    </row>
    <row r="34" spans="2:20" x14ac:dyDescent="0.25">
      <c r="B34" s="4"/>
      <c r="C34" s="5"/>
      <c r="D34" s="5"/>
      <c r="E34" s="5"/>
      <c r="F34" s="5"/>
      <c r="G34" s="5"/>
      <c r="H34" s="5"/>
      <c r="I34" s="5"/>
      <c r="J34" s="5"/>
      <c r="K34" s="6"/>
      <c r="M34" s="4"/>
      <c r="N34" s="38">
        <v>-0.15</v>
      </c>
      <c r="O34" s="38">
        <v>-0.1</v>
      </c>
      <c r="P34" s="38">
        <v>-0.05</v>
      </c>
      <c r="Q34" s="38">
        <v>0</v>
      </c>
      <c r="R34" s="38">
        <v>0.05</v>
      </c>
      <c r="S34" s="38">
        <v>0.1</v>
      </c>
      <c r="T34" s="39">
        <v>0.15</v>
      </c>
    </row>
    <row r="35" spans="2:20" x14ac:dyDescent="0.25">
      <c r="B35" s="7" t="s">
        <v>60</v>
      </c>
      <c r="C35" s="21">
        <v>259.29000000000002</v>
      </c>
      <c r="D35" s="8" t="s">
        <v>2</v>
      </c>
      <c r="E35" s="5"/>
      <c r="F35" s="5"/>
      <c r="G35" s="5"/>
      <c r="H35" s="5"/>
      <c r="I35" s="5"/>
      <c r="J35" s="5"/>
      <c r="K35" s="6"/>
      <c r="M35" s="40">
        <f>I46</f>
        <v>9.6910285171102668</v>
      </c>
      <c r="N35" s="43">
        <f t="dataTable" ref="N35:T35" dt2D="0" dtr="1" r1="E40"/>
        <v>10.342714068441065</v>
      </c>
      <c r="O35" s="43">
        <v>10.125485551330799</v>
      </c>
      <c r="P35" s="43">
        <v>9.9082570342205347</v>
      </c>
      <c r="Q35" s="43">
        <v>9.6910285171102668</v>
      </c>
      <c r="R35" s="43">
        <v>9.4738000000000024</v>
      </c>
      <c r="S35" s="43">
        <v>9.2565714828897327</v>
      </c>
      <c r="T35" s="44">
        <v>9.0393429657794684</v>
      </c>
    </row>
    <row r="36" spans="2:20" x14ac:dyDescent="0.25">
      <c r="B36" s="7" t="s">
        <v>67</v>
      </c>
      <c r="C36" s="21">
        <v>210.4</v>
      </c>
      <c r="D36" s="5" t="s">
        <v>2</v>
      </c>
      <c r="E36" s="5"/>
      <c r="F36" s="5"/>
      <c r="G36" s="5"/>
      <c r="H36" s="5"/>
      <c r="I36" s="5"/>
      <c r="J36" s="5"/>
      <c r="K36" s="6"/>
      <c r="M36" s="4"/>
      <c r="N36" s="5"/>
      <c r="O36" s="5"/>
      <c r="P36" s="5"/>
      <c r="Q36" s="5"/>
      <c r="R36" s="5"/>
      <c r="S36" s="5"/>
      <c r="T36" s="6"/>
    </row>
    <row r="37" spans="2:20" x14ac:dyDescent="0.25">
      <c r="B37" s="7" t="s">
        <v>4</v>
      </c>
      <c r="C37" s="21">
        <f>6*(1+E37)</f>
        <v>6</v>
      </c>
      <c r="D37" s="8" t="s">
        <v>5</v>
      </c>
      <c r="E37" s="41"/>
      <c r="F37" s="5"/>
      <c r="G37" s="5"/>
      <c r="H37" s="5"/>
      <c r="I37" s="5"/>
      <c r="J37" s="5"/>
      <c r="K37" s="6"/>
      <c r="M37" s="4" t="s">
        <v>55</v>
      </c>
      <c r="N37" s="5"/>
      <c r="O37" s="5"/>
      <c r="P37" s="5"/>
      <c r="Q37" s="5"/>
      <c r="R37" s="5"/>
      <c r="S37" s="5"/>
      <c r="T37" s="6"/>
    </row>
    <row r="38" spans="2:20" x14ac:dyDescent="0.25">
      <c r="B38" s="7" t="s">
        <v>6</v>
      </c>
      <c r="C38" s="21">
        <v>81.900000000000006</v>
      </c>
      <c r="D38" s="8" t="s">
        <v>7</v>
      </c>
      <c r="E38" s="5"/>
      <c r="F38" s="5"/>
      <c r="G38" s="5"/>
      <c r="H38" s="5"/>
      <c r="I38" s="5"/>
      <c r="J38" s="5"/>
      <c r="K38" s="6"/>
      <c r="M38" s="4"/>
      <c r="N38" s="38">
        <v>-0.15</v>
      </c>
      <c r="O38" s="38">
        <v>-0.1</v>
      </c>
      <c r="P38" s="38">
        <v>-0.05</v>
      </c>
      <c r="Q38" s="38">
        <v>0</v>
      </c>
      <c r="R38" s="38">
        <v>0.05</v>
      </c>
      <c r="S38" s="38">
        <v>0.1</v>
      </c>
      <c r="T38" s="39">
        <v>0.15</v>
      </c>
    </row>
    <row r="39" spans="2:20" x14ac:dyDescent="0.25">
      <c r="B39" s="35" t="s">
        <v>56</v>
      </c>
      <c r="C39" s="21">
        <v>6</v>
      </c>
      <c r="D39" s="34" t="s">
        <v>57</v>
      </c>
      <c r="E39" s="5"/>
      <c r="F39" s="5"/>
      <c r="G39" s="5"/>
      <c r="H39" s="5"/>
      <c r="I39" s="5"/>
      <c r="J39" s="5"/>
      <c r="K39" s="6"/>
      <c r="M39" s="40">
        <f>I46</f>
        <v>9.6910285171102668</v>
      </c>
      <c r="N39" s="43">
        <f t="dataTable" ref="N39:T39" dt2D="0" dtr="1" r1="E41" ca="1"/>
        <v>9.6910285171102668</v>
      </c>
      <c r="O39" s="43">
        <v>9.6910285171102668</v>
      </c>
      <c r="P39" s="43">
        <v>9.6910285171102668</v>
      </c>
      <c r="Q39" s="43">
        <v>9.6910285171102668</v>
      </c>
      <c r="R39" s="43">
        <v>9.6910285171102668</v>
      </c>
      <c r="S39" s="43">
        <v>9.6910285171102668</v>
      </c>
      <c r="T39" s="44">
        <v>9.6910285171102668</v>
      </c>
    </row>
    <row r="40" spans="2:20" x14ac:dyDescent="0.25">
      <c r="B40" s="35" t="s">
        <v>58</v>
      </c>
      <c r="C40" s="21">
        <f>5700*(1+E40)</f>
        <v>5700</v>
      </c>
      <c r="D40" s="34" t="s">
        <v>59</v>
      </c>
      <c r="E40" s="41"/>
      <c r="F40" s="5"/>
      <c r="G40" s="5"/>
      <c r="H40" s="5"/>
      <c r="I40" s="5"/>
      <c r="J40" s="5"/>
      <c r="K40" s="6"/>
      <c r="M40" s="4"/>
      <c r="N40" s="5"/>
      <c r="O40" s="5"/>
      <c r="P40" s="5"/>
      <c r="Q40" s="5"/>
      <c r="R40" s="5"/>
      <c r="S40" s="5"/>
      <c r="T40" s="6"/>
    </row>
    <row r="41" spans="2:20" x14ac:dyDescent="0.25">
      <c r="B41" s="4" t="s">
        <v>55</v>
      </c>
      <c r="C41" s="21">
        <v>33.409999999999997</v>
      </c>
      <c r="D41" s="34" t="s">
        <v>5</v>
      </c>
      <c r="E41" s="41"/>
      <c r="F41" s="5"/>
      <c r="G41" s="5"/>
      <c r="H41" s="5"/>
      <c r="I41" s="5"/>
      <c r="J41" s="5"/>
      <c r="K41" s="6"/>
      <c r="M41" s="4" t="s">
        <v>78</v>
      </c>
      <c r="N41" s="5"/>
      <c r="O41" s="5"/>
      <c r="P41" s="5"/>
      <c r="Q41" s="5"/>
      <c r="R41" s="5"/>
      <c r="S41" s="5"/>
      <c r="T41" s="6"/>
    </row>
    <row r="42" spans="2:20" x14ac:dyDescent="0.25">
      <c r="B42" s="4"/>
      <c r="C42" s="5"/>
      <c r="D42" s="5"/>
      <c r="E42" s="5"/>
      <c r="F42" s="5"/>
      <c r="G42" s="5"/>
      <c r="H42" s="5"/>
      <c r="I42" s="5"/>
      <c r="J42" s="5"/>
      <c r="K42" s="6"/>
      <c r="M42" s="4"/>
      <c r="N42" s="38">
        <v>-0.15</v>
      </c>
      <c r="O42" s="38">
        <v>-0.1</v>
      </c>
      <c r="P42" s="38">
        <v>-0.05</v>
      </c>
      <c r="Q42" s="38">
        <v>0</v>
      </c>
      <c r="R42" s="38">
        <v>0.05</v>
      </c>
      <c r="S42" s="38">
        <v>0.1</v>
      </c>
      <c r="T42" s="39">
        <v>0.15</v>
      </c>
    </row>
    <row r="43" spans="2:20" x14ac:dyDescent="0.25">
      <c r="B43" s="4"/>
      <c r="C43" s="5"/>
      <c r="D43" s="5"/>
      <c r="E43" s="5"/>
      <c r="F43" s="5"/>
      <c r="G43" s="5"/>
      <c r="H43" s="5"/>
      <c r="I43" s="5"/>
      <c r="J43" s="5"/>
      <c r="K43" s="6"/>
      <c r="M43" s="40">
        <f>I46</f>
        <v>9.6910285171102668</v>
      </c>
      <c r="N43" s="43">
        <f t="dataTable" ref="N43:T43" dt2D="0" dtr="1" r1="D58" ca="1"/>
        <v>8.7518531368821311</v>
      </c>
      <c r="O43" s="43">
        <v>9.0649115969581757</v>
      </c>
      <c r="P43" s="43">
        <v>9.3779700570342222</v>
      </c>
      <c r="Q43" s="43">
        <v>9.6910285171102668</v>
      </c>
      <c r="R43" s="43">
        <v>10.004086977186313</v>
      </c>
      <c r="S43" s="43">
        <v>10.317145437262358</v>
      </c>
      <c r="T43" s="44">
        <v>10.630203897338403</v>
      </c>
    </row>
    <row r="44" spans="2:20" x14ac:dyDescent="0.25">
      <c r="B44" s="4"/>
      <c r="C44" s="5"/>
      <c r="D44" s="5"/>
      <c r="E44" s="5"/>
      <c r="F44" s="5"/>
      <c r="G44" s="5"/>
      <c r="H44" s="5"/>
      <c r="I44" s="5"/>
      <c r="J44" s="5"/>
      <c r="K44" s="6"/>
      <c r="M44" s="4"/>
      <c r="N44" s="5"/>
      <c r="O44" s="5"/>
      <c r="P44" s="5"/>
      <c r="Q44" s="5"/>
      <c r="R44" s="5"/>
      <c r="S44" s="5"/>
      <c r="T44" s="6"/>
    </row>
    <row r="45" spans="2:20" x14ac:dyDescent="0.25">
      <c r="B45" s="4"/>
      <c r="C45" s="5"/>
      <c r="D45" s="5"/>
      <c r="E45" s="5"/>
      <c r="F45" s="5"/>
      <c r="G45" s="5"/>
      <c r="H45" s="8" t="s">
        <v>15</v>
      </c>
      <c r="I45" s="14">
        <f>((C35*1000/0.774)*(C38/1000))/(C35*1000)*100</f>
        <v>10.581395348837209</v>
      </c>
      <c r="J45" s="8" t="s">
        <v>76</v>
      </c>
      <c r="K45" s="6"/>
      <c r="M45" s="4" t="s">
        <v>79</v>
      </c>
      <c r="N45" s="5"/>
      <c r="O45" s="5"/>
      <c r="P45" s="5"/>
      <c r="Q45" s="5"/>
      <c r="R45" s="5"/>
      <c r="S45" s="5"/>
      <c r="T45" s="6"/>
    </row>
    <row r="46" spans="2:20" ht="30" x14ac:dyDescent="0.25">
      <c r="B46" s="4"/>
      <c r="C46" s="9" t="s">
        <v>8</v>
      </c>
      <c r="D46" s="10" t="s">
        <v>9</v>
      </c>
      <c r="E46" s="10" t="s">
        <v>50</v>
      </c>
      <c r="F46" s="10" t="s">
        <v>10</v>
      </c>
      <c r="G46" s="10" t="s">
        <v>11</v>
      </c>
      <c r="H46" s="8" t="s">
        <v>17</v>
      </c>
      <c r="I46" s="14">
        <f>(G57/10)/(C36*1000)*100</f>
        <v>9.6910285171102668</v>
      </c>
      <c r="J46" s="8" t="s">
        <v>76</v>
      </c>
      <c r="K46" s="6"/>
      <c r="M46" s="4"/>
      <c r="N46" s="38">
        <v>-0.15</v>
      </c>
      <c r="O46" s="38">
        <v>-0.1</v>
      </c>
      <c r="P46" s="38">
        <v>-0.05</v>
      </c>
      <c r="Q46" s="38">
        <v>0</v>
      </c>
      <c r="R46" s="38">
        <v>0.05</v>
      </c>
      <c r="S46" s="38">
        <v>0.1</v>
      </c>
      <c r="T46" s="39">
        <v>0.15</v>
      </c>
    </row>
    <row r="47" spans="2:20" x14ac:dyDescent="0.25">
      <c r="B47" s="4"/>
      <c r="C47" s="9" t="s">
        <v>75</v>
      </c>
      <c r="D47" s="11">
        <v>3525</v>
      </c>
      <c r="E47" s="11"/>
      <c r="F47" s="11">
        <f>Tabelle981004791713[[#This Row],[einmalige
Kosten]]+(5*Tabelle981004791713[[#This Row],[jährliche
Kosten]])</f>
        <v>3525</v>
      </c>
      <c r="G47" s="11">
        <f>Tabelle981004791713[[#This Row],[einmalige
Kosten]]+(10*Tabelle981004791713[[#This Row],[jährliche
Kosten]])</f>
        <v>3525</v>
      </c>
      <c r="H47" s="5"/>
      <c r="I47" s="5"/>
      <c r="J47" s="5"/>
      <c r="K47" s="6"/>
      <c r="M47" s="40">
        <f>I46</f>
        <v>9.6910285171102668</v>
      </c>
      <c r="N47" s="43">
        <f t="dataTable" ref="N47:T47" dt2D="0" dtr="1" r1="E37" ca="1"/>
        <v>8.5818982889733846</v>
      </c>
      <c r="O47" s="43">
        <v>8.9516083650190126</v>
      </c>
      <c r="P47" s="43">
        <v>9.3213184410646406</v>
      </c>
      <c r="Q47" s="43">
        <v>9.6910285171102668</v>
      </c>
      <c r="R47" s="43">
        <v>10.060738593155897</v>
      </c>
      <c r="S47" s="43">
        <v>10.430448669201523</v>
      </c>
      <c r="T47" s="44">
        <v>10.800158745247149</v>
      </c>
    </row>
    <row r="48" spans="2:20" ht="15.75" thickBot="1" x14ac:dyDescent="0.3">
      <c r="B48" s="4"/>
      <c r="C48" s="9" t="s">
        <v>69</v>
      </c>
      <c r="D48" s="11">
        <v>9000</v>
      </c>
      <c r="E48" s="11">
        <v>300</v>
      </c>
      <c r="F48" s="11">
        <f>Tabelle981004791713[[#This Row],[einmalige
Kosten]]+(5*Tabelle981004791713[[#This Row],[jährliche
Kosten]])</f>
        <v>10500</v>
      </c>
      <c r="G48" s="11">
        <f>Tabelle981004791713[[#This Row],[einmalige
Kosten]]+(10*Tabelle981004791713[[#This Row],[jährliche
Kosten]])</f>
        <v>12000</v>
      </c>
      <c r="H48" s="5"/>
      <c r="I48" s="5"/>
      <c r="J48" s="5"/>
      <c r="K48" s="6"/>
      <c r="M48" s="18"/>
      <c r="N48" s="19"/>
      <c r="O48" s="19"/>
      <c r="P48" s="19"/>
      <c r="Q48" s="19"/>
      <c r="R48" s="19"/>
      <c r="S48" s="19"/>
      <c r="T48" s="20"/>
    </row>
    <row r="49" spans="2:11" x14ac:dyDescent="0.25">
      <c r="B49" s="4"/>
      <c r="C49" s="9" t="s">
        <v>68</v>
      </c>
      <c r="D49" s="11">
        <v>40500</v>
      </c>
      <c r="E49" s="11"/>
      <c r="F49" s="11">
        <f>Tabelle981004791713[[#This Row],[einmalige
Kosten]]+(5*Tabelle981004791713[[#This Row],[jährliche
Kosten]])</f>
        <v>40500</v>
      </c>
      <c r="G49" s="11">
        <f>Tabelle981004791713[[#This Row],[einmalige
Kosten]]+(10*Tabelle981004791713[[#This Row],[jährliche
Kosten]])</f>
        <v>40500</v>
      </c>
      <c r="H49" s="5"/>
      <c r="I49" s="5"/>
      <c r="J49" s="5"/>
      <c r="K49" s="6"/>
    </row>
    <row r="50" spans="2:11" x14ac:dyDescent="0.25">
      <c r="B50" s="4"/>
      <c r="C50" s="9" t="s">
        <v>73</v>
      </c>
      <c r="D50" s="11">
        <v>15200</v>
      </c>
      <c r="E50" s="11"/>
      <c r="F50" s="11">
        <f>Tabelle981004791713[[#This Row],[einmalige
Kosten]]+(5*Tabelle981004791713[[#This Row],[jährliche
Kosten]])</f>
        <v>15200</v>
      </c>
      <c r="G50" s="11">
        <f>Tabelle981004791713[[#This Row],[einmalige
Kosten]]+(10*Tabelle981004791713[[#This Row],[jährliche
Kosten]])</f>
        <v>15200</v>
      </c>
      <c r="H50" s="5"/>
      <c r="I50" s="5"/>
      <c r="J50" s="5"/>
      <c r="K50" s="6"/>
    </row>
    <row r="51" spans="2:11" x14ac:dyDescent="0.25">
      <c r="B51" s="4"/>
      <c r="C51" s="32" t="s">
        <v>70</v>
      </c>
      <c r="D51" s="33">
        <v>18750</v>
      </c>
      <c r="E51" s="33">
        <v>500</v>
      </c>
      <c r="F51" s="11">
        <f>Tabelle981004791713[[#This Row],[einmalige
Kosten]]+(5*Tabelle981004791713[[#This Row],[jährliche
Kosten]])</f>
        <v>21250</v>
      </c>
      <c r="G51" s="33">
        <f>Tabelle981004791713[[#This Row],[einmalige
Kosten]]+(10*Tabelle981004791713[[#This Row],[jährliche
Kosten]])</f>
        <v>23750</v>
      </c>
      <c r="H51" s="5"/>
      <c r="I51" s="5"/>
      <c r="J51" s="5"/>
      <c r="K51" s="6"/>
    </row>
    <row r="52" spans="2:11" x14ac:dyDescent="0.25">
      <c r="B52" s="4"/>
      <c r="C52" s="32" t="s">
        <v>53</v>
      </c>
      <c r="D52" s="33">
        <v>3600</v>
      </c>
      <c r="E52" s="33"/>
      <c r="F52" s="11">
        <f>Tabelle981004791713[[#This Row],[einmalige
Kosten]]+(5*Tabelle981004791713[[#This Row],[jährliche
Kosten]])</f>
        <v>3600</v>
      </c>
      <c r="G52" s="33">
        <f>Tabelle981004791713[[#This Row],[einmalige
Kosten]]+(10*Tabelle981004791713[[#This Row],[jährliche
Kosten]])</f>
        <v>3600</v>
      </c>
      <c r="H52" s="5"/>
      <c r="I52" s="5"/>
      <c r="J52" s="5"/>
      <c r="K52" s="6"/>
    </row>
    <row r="53" spans="2:11" x14ac:dyDescent="0.25">
      <c r="B53" s="4"/>
      <c r="C53" s="9" t="s">
        <v>14</v>
      </c>
      <c r="D53" s="11">
        <v>6160</v>
      </c>
      <c r="E53" s="11"/>
      <c r="F53" s="11">
        <f>Tabelle981004791713[[#This Row],[einmalige
Kosten]]+(5*Tabelle981004791713[[#This Row],[jährliche
Kosten]])</f>
        <v>6160</v>
      </c>
      <c r="G53" s="11">
        <f>Tabelle981004791713[[#This Row],[einmalige
Kosten]]+(10*Tabelle981004791713[[#This Row],[jährliche
Kosten]])</f>
        <v>6160</v>
      </c>
      <c r="H53" s="5"/>
      <c r="I53" s="5"/>
      <c r="J53" s="5"/>
      <c r="K53" s="6"/>
    </row>
    <row r="54" spans="2:11" x14ac:dyDescent="0.25">
      <c r="B54" s="4"/>
      <c r="C54" s="32" t="s">
        <v>74</v>
      </c>
      <c r="D54" s="33">
        <v>35000</v>
      </c>
      <c r="E54" s="33"/>
      <c r="F54" s="11">
        <f>Tabelle981004791713[[#This Row],[einmalige
Kosten]]+(5*Tabelle981004791713[[#This Row],[jährliche
Kosten]])</f>
        <v>35000</v>
      </c>
      <c r="G54" s="33">
        <f>Tabelle981004791713[[#This Row],[einmalige
Kosten]]+(10*Tabelle981004791713[[#This Row],[jährliche
Kosten]])</f>
        <v>35000</v>
      </c>
      <c r="H54" s="5"/>
      <c r="I54" s="5"/>
      <c r="J54" s="5"/>
      <c r="K54" s="6"/>
    </row>
    <row r="55" spans="2:11" x14ac:dyDescent="0.25">
      <c r="B55" s="4"/>
      <c r="C55" s="9" t="s">
        <v>16</v>
      </c>
      <c r="D55" s="11"/>
      <c r="E55" s="11">
        <f>(C35*1000)*C37/100</f>
        <v>15557.400000000001</v>
      </c>
      <c r="F55" s="11">
        <f>Tabelle981004791713[[#This Row],[einmalige
Kosten]]+(5*Tabelle981004791713[[#This Row],[jährliche
Kosten]])</f>
        <v>77787</v>
      </c>
      <c r="G55" s="11">
        <f>Tabelle981004791713[[#This Row],[einmalige
Kosten]]+(10*Tabelle981004791713[[#This Row],[jährliche
Kosten]])</f>
        <v>155574</v>
      </c>
      <c r="H55" s="5"/>
      <c r="I55" s="5"/>
      <c r="J55" s="5"/>
      <c r="K55" s="6"/>
    </row>
    <row r="56" spans="2:11" x14ac:dyDescent="0.25">
      <c r="B56" s="4"/>
      <c r="C56" s="32" t="s">
        <v>54</v>
      </c>
      <c r="D56" s="33"/>
      <c r="E56" s="33">
        <f>(C39*C40*0.8*C41/100)*(-1)</f>
        <v>-9140.9759999999987</v>
      </c>
      <c r="F56" s="11">
        <f>Tabelle981004791713[[#This Row],[einmalige
Kosten]]+(5*Tabelle981004791713[[#This Row],[jährliche
Kosten]])</f>
        <v>-45704.87999999999</v>
      </c>
      <c r="G56" s="33">
        <f>Tabelle981004791713[[#This Row],[einmalige
Kosten]]+(10*Tabelle981004791713[[#This Row],[jährliche
Kosten]])</f>
        <v>-91409.75999999998</v>
      </c>
      <c r="H56" s="5"/>
      <c r="I56" s="5"/>
      <c r="J56" s="5"/>
      <c r="K56" s="6"/>
    </row>
    <row r="57" spans="2:11" x14ac:dyDescent="0.25">
      <c r="B57" s="4"/>
      <c r="C57" s="16" t="s">
        <v>18</v>
      </c>
      <c r="D57" s="17">
        <f>SUM(D47:D56)*(1+D58)</f>
        <v>131735</v>
      </c>
      <c r="E57" s="17">
        <f>SUM(E47:E56)</f>
        <v>7216.4240000000027</v>
      </c>
      <c r="F57" s="17">
        <f>Tabelle981004791713[[#This Row],[einmalige
Kosten]]+(5*Tabelle981004791713[[#This Row],[jährliche
Kosten]])</f>
        <v>167817.12</v>
      </c>
      <c r="G57" s="17">
        <f>Tabelle981004791713[[#This Row],[einmalige
Kosten]]+(10*Tabelle981004791713[[#This Row],[jährliche
Kosten]])</f>
        <v>203899.24000000002</v>
      </c>
      <c r="H57" s="5"/>
      <c r="I57" s="5"/>
      <c r="J57" s="5"/>
      <c r="K57" s="6"/>
    </row>
    <row r="58" spans="2:11" x14ac:dyDescent="0.25">
      <c r="B58" s="4"/>
      <c r="C58" s="5"/>
      <c r="D58" s="41"/>
      <c r="E58" s="5"/>
      <c r="F58" s="5"/>
      <c r="G58" s="5"/>
      <c r="H58" s="5"/>
      <c r="I58" s="5"/>
      <c r="J58" s="5"/>
      <c r="K58" s="6"/>
    </row>
    <row r="59" spans="2:11" ht="15.75" thickBot="1" x14ac:dyDescent="0.3">
      <c r="B59" s="18"/>
      <c r="C59" s="19"/>
      <c r="D59" s="19"/>
      <c r="E59" s="19"/>
      <c r="F59" s="19"/>
      <c r="G59" s="19"/>
      <c r="H59" s="19"/>
      <c r="I59" s="19"/>
      <c r="J59" s="19"/>
      <c r="K59" s="20"/>
    </row>
  </sheetData>
  <pageMargins left="0.7" right="0.7" top="0.78740157499999996" bottom="0.78740157499999996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Wirtschaftlichkeiten</vt:lpstr>
      <vt:lpstr>Wirt. A1</vt:lpstr>
      <vt:lpstr>Wirt. A2</vt:lpstr>
      <vt:lpstr>JDL Variante B1</vt:lpstr>
      <vt:lpstr>Wirt. B1</vt:lpstr>
      <vt:lpstr>Wirt. B2</vt:lpstr>
      <vt:lpstr>JDL Variante C</vt:lpstr>
      <vt:lpstr>Wirt. C1</vt:lpstr>
      <vt:lpstr>Wirt. C2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2013-12-08T16:34:23Z</dcterms:modified>
</cp:coreProperties>
</file>