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Eingaben" sheetId="1" r:id="rId1"/>
    <sheet name="Formeln" sheetId="2" r:id="rId2"/>
    <sheet name="Kabeldaten" sheetId="3" r:id="rId3"/>
  </sheets>
  <calcPr calcId="125725" iterate="1"/>
</workbook>
</file>

<file path=xl/calcChain.xml><?xml version="1.0" encoding="utf-8"?>
<calcChain xmlns="http://schemas.openxmlformats.org/spreadsheetml/2006/main">
  <c r="N34" i="2"/>
  <c r="N17"/>
  <c r="E41" l="1"/>
  <c r="E24"/>
  <c r="N33"/>
  <c r="B22"/>
  <c r="B33" s="1"/>
  <c r="B34" s="1"/>
  <c r="B35" s="1"/>
  <c r="N35" l="1"/>
  <c r="B36"/>
  <c r="B37" l="1"/>
  <c r="B7"/>
  <c r="B16"/>
  <c r="E6"/>
  <c r="D2" i="3"/>
  <c r="D1"/>
  <c r="E42" i="2" l="1"/>
  <c r="D80"/>
  <c r="D82"/>
  <c r="D84"/>
  <c r="D86"/>
  <c r="D88"/>
  <c r="D90"/>
  <c r="D79"/>
  <c r="D81"/>
  <c r="D83"/>
  <c r="D85"/>
  <c r="D87"/>
  <c r="D89"/>
  <c r="D78"/>
  <c r="F5" i="3"/>
  <c r="B17" i="2"/>
  <c r="B18" s="1"/>
  <c r="B17" i="1" s="1"/>
  <c r="E25" i="2"/>
  <c r="E26"/>
  <c r="E27" s="1"/>
  <c r="D5" i="3"/>
  <c r="J8" i="1" s="1"/>
  <c r="B5" i="3"/>
  <c r="J6" i="1" s="1"/>
  <c r="A5" i="3"/>
  <c r="J5" i="1" s="1"/>
  <c r="C5" i="3"/>
  <c r="J7" i="1" s="1"/>
  <c r="E4" i="2" s="1"/>
  <c r="E5" i="3"/>
  <c r="J9" i="1" s="1"/>
  <c r="B6" i="2" s="1"/>
  <c r="E8"/>
  <c r="N16"/>
  <c r="B4"/>
  <c r="B5" s="1"/>
  <c r="E2"/>
  <c r="B38" s="1"/>
  <c r="B2"/>
  <c r="B10" s="1"/>
  <c r="H34" l="1"/>
  <c r="E43"/>
  <c r="E44" s="1"/>
  <c r="C81"/>
  <c r="E81" s="1"/>
  <c r="C83"/>
  <c r="E83" s="1"/>
  <c r="C82"/>
  <c r="E82" s="1"/>
  <c r="C84"/>
  <c r="E84" s="1"/>
  <c r="C88"/>
  <c r="E88" s="1"/>
  <c r="C90"/>
  <c r="E90" s="1"/>
  <c r="C80"/>
  <c r="E80" s="1"/>
  <c r="C86"/>
  <c r="E86" s="1"/>
  <c r="C78"/>
  <c r="E78" s="1"/>
  <c r="C89"/>
  <c r="E89" s="1"/>
  <c r="C79"/>
  <c r="E79" s="1"/>
  <c r="C85"/>
  <c r="E85" s="1"/>
  <c r="C87"/>
  <c r="E87" s="1"/>
  <c r="B15" i="1"/>
  <c r="B19" i="2"/>
  <c r="H17" s="1"/>
  <c r="E28"/>
  <c r="E35"/>
  <c r="H33"/>
  <c r="H35" s="1"/>
  <c r="E5"/>
  <c r="E36" s="1"/>
  <c r="E34"/>
  <c r="N36"/>
  <c r="K37"/>
  <c r="E33" s="1"/>
  <c r="K20"/>
  <c r="E17"/>
  <c r="E18"/>
  <c r="N19"/>
  <c r="N18"/>
  <c r="H79" l="1"/>
  <c r="H81"/>
  <c r="H83"/>
  <c r="H85"/>
  <c r="H87"/>
  <c r="H89"/>
  <c r="H78"/>
  <c r="H80"/>
  <c r="H82"/>
  <c r="H84"/>
  <c r="H86"/>
  <c r="H88"/>
  <c r="H90"/>
  <c r="N20"/>
  <c r="N21" s="1"/>
  <c r="N37"/>
  <c r="N38" s="1"/>
  <c r="F78"/>
  <c r="F80"/>
  <c r="F82"/>
  <c r="F84"/>
  <c r="F86"/>
  <c r="F88"/>
  <c r="F90"/>
  <c r="F79"/>
  <c r="F81"/>
  <c r="F83"/>
  <c r="F85"/>
  <c r="F87"/>
  <c r="F89"/>
  <c r="E45"/>
  <c r="E46" s="1"/>
  <c r="B19" i="1"/>
  <c r="E19" i="2"/>
  <c r="E20" s="1"/>
  <c r="E37"/>
  <c r="E39" s="1"/>
  <c r="E16"/>
  <c r="B25" i="1" s="1"/>
  <c r="B27" s="1"/>
  <c r="K38" i="2"/>
  <c r="K39" s="1"/>
  <c r="K21"/>
  <c r="K22" s="1"/>
  <c r="H16"/>
  <c r="H18" s="1"/>
  <c r="B20"/>
  <c r="B21" i="1" s="1"/>
  <c r="B21" i="2"/>
  <c r="B3"/>
  <c r="K33" s="1"/>
  <c r="K34" s="1"/>
  <c r="K35" s="1"/>
  <c r="K36" s="1"/>
  <c r="L16" i="1" l="1"/>
  <c r="G90" i="2"/>
  <c r="G86"/>
  <c r="G79"/>
  <c r="G87"/>
  <c r="G84"/>
  <c r="G85"/>
  <c r="G81"/>
  <c r="G78"/>
  <c r="E29" s="1"/>
  <c r="G88"/>
  <c r="G80"/>
  <c r="G89"/>
  <c r="G82"/>
  <c r="G83"/>
  <c r="E22"/>
  <c r="E21"/>
  <c r="K40"/>
  <c r="E38"/>
  <c r="B23"/>
  <c r="B23" i="1"/>
  <c r="H36" i="2"/>
  <c r="H29" i="1" s="1"/>
  <c r="H30"/>
  <c r="K16" i="2"/>
  <c r="K17" s="1"/>
  <c r="K18" s="1"/>
  <c r="H19" l="1"/>
  <c r="L15" i="1" s="1"/>
  <c r="H27"/>
  <c r="H26" s="1"/>
  <c r="K41" i="2"/>
  <c r="E30"/>
  <c r="N39"/>
  <c r="N40" s="1"/>
  <c r="N42" s="1"/>
  <c r="N43" s="1"/>
  <c r="N44" s="1"/>
  <c r="N45" s="1"/>
  <c r="B24"/>
  <c r="K19"/>
  <c r="K23" s="1"/>
  <c r="N41" l="1"/>
  <c r="L19" i="1"/>
  <c r="L22"/>
  <c r="L21" s="1"/>
  <c r="L18" s="1"/>
  <c r="N22" i="2"/>
  <c r="N23" s="1"/>
  <c r="N25" l="1"/>
  <c r="N26" s="1"/>
  <c r="N24"/>
  <c r="H21" i="1" s="1"/>
  <c r="N27" i="2" l="1"/>
  <c r="H15" i="1"/>
  <c r="N28" i="2" l="1"/>
  <c r="H17" i="1"/>
  <c r="H19" l="1"/>
</calcChain>
</file>

<file path=xl/comments1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Die Berechnung ist ausgelegt für:
- PE/VPE Kabel mit Aluminiumleiter in Dreieckverlegung
- in der 30/110kV-Spannungsebene
- Windgebiet Alt-Malisch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kein Eingabefeld, Eingaben im Reiter "Kabeldaten"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vereinbarte Anschlussleistung,Wirk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Bemessungsspannung</t>
        </r>
      </text>
    </comment>
    <comment ref="F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spezifischer Wärmewiderstand (Erde):
1 bei feuchter Erde
2,5 bei trockner Erde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Systemlänge</t>
        </r>
      </text>
    </comment>
    <comment ref="F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spezifischer Wärmewiderstand(Kabel):
3,5 für VPE/PE Isolierung</t>
        </r>
      </text>
    </comment>
    <comment ref="F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Betriebstemperatur des verwendeten Kabels</t>
        </r>
      </text>
    </comment>
    <comment ref="F10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unbeeinflusste entfernte Temperatur</t>
        </r>
      </text>
    </comment>
    <comment ref="K1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negatives Vorzeichen: Spannungstal
positives Vorzeichen:
Spannungshub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Leistungsverlust bei
vereinbarte Leistung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Leistungsverlust bei
erzeugter Leistung im Jahr
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Spannungsabfall bei
erzeugter Leistung im Jahr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Dropdown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G1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Längsspannungsfall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vereinbarte Scheinleistung, pro Kabelsystem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Querspannungsfall</t>
        </r>
      </text>
    </comment>
    <comment ref="B2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Eingangswert bei B34</t>
        </r>
      </text>
    </comment>
    <comment ref="D28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benötigte Kapazitive Blindleistung des Transformators bei Volllast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Längsspannungsfall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vereinbarte Scheinleistung, pro Kabelsystem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Querspannungsfall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benötigte Kapazitive Blindleistung des Transformators im Arbeitspunkt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Kompensation des Cos(phi) im Arbeitspunkt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interpolierter Wert</t>
        </r>
      </text>
    </comment>
    <comment ref="E2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Interpolierter Wert</t>
        </r>
      </text>
    </comment>
    <comment ref="D25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interpolierter Wert</t>
        </r>
      </text>
    </comment>
  </commentList>
</comments>
</file>

<file path=xl/sharedStrings.xml><?xml version="1.0" encoding="utf-8"?>
<sst xmlns="http://schemas.openxmlformats.org/spreadsheetml/2006/main" count="428" uniqueCount="191">
  <si>
    <t>L'</t>
  </si>
  <si>
    <t>C'</t>
  </si>
  <si>
    <t>[mm]</t>
  </si>
  <si>
    <r>
      <t>R'</t>
    </r>
    <r>
      <rPr>
        <vertAlign val="subscript"/>
        <sz val="11"/>
        <color theme="1"/>
        <rFont val="Calibri"/>
        <family val="2"/>
        <scheme val="minor"/>
      </rPr>
      <t>=</t>
    </r>
  </si>
  <si>
    <r>
      <t>R'</t>
    </r>
    <r>
      <rPr>
        <vertAlign val="subscript"/>
        <sz val="11"/>
        <color theme="1"/>
        <rFont val="Calibri"/>
        <family val="2"/>
        <scheme val="minor"/>
      </rPr>
      <t>w</t>
    </r>
  </si>
  <si>
    <t>[Ω/km]</t>
  </si>
  <si>
    <t>[mH/km]</t>
  </si>
  <si>
    <r>
      <t>[</t>
    </r>
    <r>
      <rPr>
        <sz val="11"/>
        <color theme="1"/>
        <rFont val="Calibri"/>
        <family val="2"/>
      </rPr>
      <t>μF/km]</t>
    </r>
  </si>
  <si>
    <t>[m]</t>
  </si>
  <si>
    <r>
      <t>h</t>
    </r>
    <r>
      <rPr>
        <vertAlign val="subscript"/>
        <sz val="11"/>
        <color theme="1"/>
        <rFont val="Calibri"/>
        <family val="2"/>
        <scheme val="minor"/>
      </rPr>
      <t>Graben</t>
    </r>
  </si>
  <si>
    <r>
      <t>D</t>
    </r>
    <r>
      <rPr>
        <vertAlign val="subscript"/>
        <sz val="11"/>
        <color theme="1"/>
        <rFont val="Calibri"/>
        <family val="2"/>
        <scheme val="minor"/>
      </rPr>
      <t>Dreieck</t>
    </r>
  </si>
  <si>
    <r>
      <t>D</t>
    </r>
    <r>
      <rPr>
        <vertAlign val="subscript"/>
        <sz val="11"/>
        <color theme="1"/>
        <rFont val="Calibri"/>
        <family val="2"/>
        <scheme val="minor"/>
      </rPr>
      <t>a</t>
    </r>
  </si>
  <si>
    <r>
      <rPr>
        <sz val="11"/>
        <color theme="1"/>
        <rFont val="Calibri"/>
        <family val="2"/>
      </rPr>
      <t>δ</t>
    </r>
    <r>
      <rPr>
        <vertAlign val="subscript"/>
        <sz val="11"/>
        <color theme="1"/>
        <rFont val="Calibri"/>
        <family val="2"/>
      </rPr>
      <t>20°C</t>
    </r>
  </si>
  <si>
    <t>[°]</t>
  </si>
  <si>
    <r>
      <t>q</t>
    </r>
    <r>
      <rPr>
        <vertAlign val="subscript"/>
        <sz val="11"/>
        <color theme="1"/>
        <rFont val="Calibri"/>
        <family val="2"/>
        <scheme val="minor"/>
      </rPr>
      <t>Kabel</t>
    </r>
  </si>
  <si>
    <t>[mm²]</t>
  </si>
  <si>
    <t>[km]</t>
  </si>
  <si>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AL20°C</t>
    </r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</si>
  <si>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</rPr>
      <t>AL</t>
    </r>
  </si>
  <si>
    <t>[1/K]</t>
  </si>
  <si>
    <t>f</t>
  </si>
  <si>
    <t>[Hz]</t>
  </si>
  <si>
    <t>[K*m/W]</t>
  </si>
  <si>
    <r>
      <t>[</t>
    </r>
    <r>
      <rPr>
        <sz val="11"/>
        <color theme="1"/>
        <rFont val="Calibri"/>
        <family val="2"/>
      </rPr>
      <t>Ω*mm²/m]</t>
    </r>
  </si>
  <si>
    <t>[°C]</t>
  </si>
  <si>
    <r>
      <t>σ</t>
    </r>
    <r>
      <rPr>
        <vertAlign val="subscript"/>
        <sz val="11"/>
        <color theme="1"/>
        <rFont val="Calibri"/>
        <family val="2"/>
      </rPr>
      <t>thE</t>
    </r>
  </si>
  <si>
    <r>
      <t>σ</t>
    </r>
    <r>
      <rPr>
        <vertAlign val="subscript"/>
        <sz val="11"/>
        <color theme="1"/>
        <rFont val="Calibri"/>
        <family val="2"/>
      </rPr>
      <t>thK</t>
    </r>
  </si>
  <si>
    <r>
      <t>μ</t>
    </r>
    <r>
      <rPr>
        <vertAlign val="subscript"/>
        <sz val="11"/>
        <color theme="1"/>
        <rFont val="Calibri"/>
        <family val="2"/>
      </rPr>
      <t>0</t>
    </r>
  </si>
  <si>
    <t>[N/A²]</t>
  </si>
  <si>
    <t>Konstantenberechnung</t>
  </si>
  <si>
    <r>
      <t>X</t>
    </r>
    <r>
      <rPr>
        <vertAlign val="subscript"/>
        <sz val="11"/>
        <color theme="1"/>
        <rFont val="Calibri"/>
        <family val="2"/>
        <scheme val="minor"/>
      </rPr>
      <t>L</t>
    </r>
  </si>
  <si>
    <r>
      <t>X</t>
    </r>
    <r>
      <rPr>
        <vertAlign val="subscript"/>
        <sz val="11"/>
        <color theme="1"/>
        <rFont val="Calibri"/>
        <family val="2"/>
        <scheme val="minor"/>
      </rPr>
      <t>C</t>
    </r>
  </si>
  <si>
    <r>
      <t>sin</t>
    </r>
    <r>
      <rPr>
        <sz val="11"/>
        <color theme="1"/>
        <rFont val="Calibri"/>
        <family val="2"/>
      </rPr>
      <t>ϕ</t>
    </r>
  </si>
  <si>
    <t>B</t>
  </si>
  <si>
    <r>
      <t>R</t>
    </r>
    <r>
      <rPr>
        <vertAlign val="subscript"/>
        <sz val="11"/>
        <color theme="1"/>
        <rFont val="Calibri"/>
        <family val="2"/>
      </rPr>
      <t>Kabel</t>
    </r>
  </si>
  <si>
    <r>
      <t>r</t>
    </r>
    <r>
      <rPr>
        <vertAlign val="subscript"/>
        <sz val="11"/>
        <color theme="1"/>
        <rFont val="Calibri"/>
        <family val="2"/>
      </rPr>
      <t>Q</t>
    </r>
  </si>
  <si>
    <r>
      <t>U</t>
    </r>
    <r>
      <rPr>
        <vertAlign val="subscript"/>
        <sz val="11"/>
        <color theme="1"/>
        <rFont val="Calibri"/>
        <family val="2"/>
        <scheme val="minor"/>
      </rPr>
      <t>0</t>
    </r>
  </si>
  <si>
    <r>
      <t>δ</t>
    </r>
    <r>
      <rPr>
        <vertAlign val="subscript"/>
        <sz val="11"/>
        <color theme="1"/>
        <rFont val="Calibri"/>
        <family val="2"/>
      </rPr>
      <t>90°C</t>
    </r>
  </si>
  <si>
    <t>Strom</t>
  </si>
  <si>
    <t>natürliche Leistung</t>
  </si>
  <si>
    <t>Spannungsfall</t>
  </si>
  <si>
    <t>Verlusteleistung</t>
  </si>
  <si>
    <t>Wärmeverluste</t>
  </si>
  <si>
    <t>ΔU</t>
  </si>
  <si>
    <t>[A]</t>
  </si>
  <si>
    <t>[A/km]</t>
  </si>
  <si>
    <r>
      <t>ΔU</t>
    </r>
    <r>
      <rPr>
        <vertAlign val="subscript"/>
        <sz val="11"/>
        <color theme="1"/>
        <rFont val="Calibri"/>
        <family val="2"/>
      </rPr>
      <t>%</t>
    </r>
  </si>
  <si>
    <t>ω</t>
  </si>
  <si>
    <t>[%]</t>
  </si>
  <si>
    <r>
      <t>Z</t>
    </r>
    <r>
      <rPr>
        <vertAlign val="subscript"/>
        <sz val="11"/>
        <color theme="1"/>
        <rFont val="Calibri"/>
        <family val="2"/>
        <scheme val="minor"/>
      </rPr>
      <t>W</t>
    </r>
  </si>
  <si>
    <r>
      <t>[</t>
    </r>
    <r>
      <rPr>
        <sz val="11"/>
        <color theme="1"/>
        <rFont val="Calibri"/>
        <family val="2"/>
      </rPr>
      <t>Ω]</t>
    </r>
  </si>
  <si>
    <r>
      <t>[km/</t>
    </r>
    <r>
      <rPr>
        <sz val="11"/>
        <color theme="1"/>
        <rFont val="Calibri"/>
        <family val="2"/>
      </rPr>
      <t>Ω]</t>
    </r>
  </si>
  <si>
    <r>
      <t>[S</t>
    </r>
    <r>
      <rPr>
        <sz val="11"/>
        <color theme="1"/>
        <rFont val="Calibri"/>
        <family val="2"/>
      </rPr>
      <t>/km]</t>
    </r>
  </si>
  <si>
    <r>
      <t>I</t>
    </r>
    <r>
      <rPr>
        <vertAlign val="subscript"/>
        <sz val="11"/>
        <color theme="1"/>
        <rFont val="Calibri"/>
        <family val="2"/>
        <scheme val="minor"/>
      </rPr>
      <t>nat</t>
    </r>
  </si>
  <si>
    <r>
      <t>P</t>
    </r>
    <r>
      <rPr>
        <vertAlign val="subscript"/>
        <sz val="11"/>
        <color theme="1"/>
        <rFont val="Calibri"/>
        <family val="2"/>
        <scheme val="minor"/>
      </rPr>
      <t>nat</t>
    </r>
  </si>
  <si>
    <t>η</t>
  </si>
  <si>
    <t>k</t>
  </si>
  <si>
    <r>
      <t>μ</t>
    </r>
    <r>
      <rPr>
        <vertAlign val="subscript"/>
        <sz val="11"/>
        <color theme="1"/>
        <rFont val="Calibri"/>
        <family val="2"/>
      </rPr>
      <t>r</t>
    </r>
  </si>
  <si>
    <t>[W/km]</t>
  </si>
  <si>
    <t>h</t>
  </si>
  <si>
    <r>
      <t>R'</t>
    </r>
    <r>
      <rPr>
        <vertAlign val="subscript"/>
        <sz val="11"/>
        <color theme="1"/>
        <rFont val="Calibri"/>
        <family val="2"/>
        <scheme val="minor"/>
      </rPr>
      <t>thE</t>
    </r>
  </si>
  <si>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scheme val="minor"/>
      </rPr>
      <t>R</t>
    </r>
    <r>
      <rPr>
        <vertAlign val="subscript"/>
        <sz val="11"/>
        <color theme="1"/>
        <rFont val="Calibri"/>
        <family val="2"/>
        <scheme val="minor"/>
      </rPr>
      <t>thE</t>
    </r>
  </si>
  <si>
    <r>
      <t>R</t>
    </r>
    <r>
      <rPr>
        <vertAlign val="subscript"/>
        <sz val="11"/>
        <color theme="1"/>
        <rFont val="Calibri"/>
        <family val="2"/>
        <scheme val="minor"/>
      </rPr>
      <t>thE</t>
    </r>
  </si>
  <si>
    <r>
      <t>R</t>
    </r>
    <r>
      <rPr>
        <vertAlign val="subscript"/>
        <sz val="11"/>
        <color theme="1"/>
        <rFont val="Calibri"/>
        <family val="2"/>
        <scheme val="minor"/>
      </rPr>
      <t>thK</t>
    </r>
  </si>
  <si>
    <r>
      <t>R</t>
    </r>
    <r>
      <rPr>
        <vertAlign val="subscript"/>
        <sz val="11"/>
        <color theme="1"/>
        <rFont val="Calibri"/>
        <family val="2"/>
        <scheme val="minor"/>
      </rPr>
      <t>thtot</t>
    </r>
  </si>
  <si>
    <t>[W/K*m²]</t>
  </si>
  <si>
    <r>
      <t>P</t>
    </r>
    <r>
      <rPr>
        <vertAlign val="subscript"/>
        <sz val="11"/>
        <color theme="1"/>
        <rFont val="Calibri"/>
        <family val="2"/>
        <scheme val="minor"/>
      </rPr>
      <t>VG</t>
    </r>
  </si>
  <si>
    <r>
      <t>Δθ</t>
    </r>
    <r>
      <rPr>
        <vertAlign val="subscript"/>
        <sz val="11"/>
        <color theme="1"/>
        <rFont val="Calibri"/>
        <family val="2"/>
      </rPr>
      <t>a</t>
    </r>
  </si>
  <si>
    <r>
      <t>Δθ</t>
    </r>
    <r>
      <rPr>
        <vertAlign val="subscript"/>
        <sz val="11"/>
        <color theme="1"/>
        <rFont val="Calibri"/>
        <family val="2"/>
      </rPr>
      <t>zul</t>
    </r>
  </si>
  <si>
    <r>
      <t>θ</t>
    </r>
    <r>
      <rPr>
        <vertAlign val="subscript"/>
        <sz val="11"/>
        <color theme="1"/>
        <rFont val="Calibri"/>
        <family val="2"/>
      </rPr>
      <t>O</t>
    </r>
  </si>
  <si>
    <r>
      <t>H</t>
    </r>
    <r>
      <rPr>
        <vertAlign val="subscript"/>
        <sz val="11"/>
        <color theme="1"/>
        <rFont val="Calibri"/>
        <family val="2"/>
      </rPr>
      <t>zul</t>
    </r>
  </si>
  <si>
    <t>[A/mm²]</t>
  </si>
  <si>
    <r>
      <t>Δθ</t>
    </r>
    <r>
      <rPr>
        <vertAlign val="subscript"/>
        <sz val="11"/>
        <color theme="1"/>
        <rFont val="Calibri"/>
        <family val="2"/>
      </rPr>
      <t>u</t>
    </r>
  </si>
  <si>
    <t>Ausgaben</t>
  </si>
  <si>
    <t>[Stk]</t>
  </si>
  <si>
    <t>Wert</t>
  </si>
  <si>
    <t>Einheit</t>
  </si>
  <si>
    <r>
      <t>P'</t>
    </r>
    <r>
      <rPr>
        <vertAlign val="subscript"/>
        <sz val="11"/>
        <color theme="1"/>
        <rFont val="Calibri"/>
        <family val="2"/>
        <scheme val="minor"/>
      </rPr>
      <t>VG</t>
    </r>
  </si>
  <si>
    <r>
      <t>P'</t>
    </r>
    <r>
      <rPr>
        <vertAlign val="subscript"/>
        <sz val="11"/>
        <color theme="1"/>
        <rFont val="Calibri"/>
        <family val="2"/>
        <scheme val="minor"/>
      </rPr>
      <t>Vδ</t>
    </r>
  </si>
  <si>
    <r>
      <t>Q'</t>
    </r>
    <r>
      <rPr>
        <vertAlign val="subscript"/>
        <sz val="11"/>
        <color theme="1"/>
        <rFont val="Calibri"/>
        <family val="2"/>
        <scheme val="minor"/>
      </rPr>
      <t>Cδ</t>
    </r>
  </si>
  <si>
    <r>
      <t>I'</t>
    </r>
    <r>
      <rPr>
        <vertAlign val="subscript"/>
        <sz val="11"/>
        <color theme="1"/>
        <rFont val="Calibri"/>
        <family val="2"/>
        <scheme val="minor"/>
      </rPr>
      <t>Cδ</t>
    </r>
  </si>
  <si>
    <r>
      <t>P'</t>
    </r>
    <r>
      <rPr>
        <vertAlign val="subscript"/>
        <sz val="11"/>
        <color theme="1"/>
        <rFont val="Calibri"/>
        <family val="2"/>
        <scheme val="minor"/>
      </rPr>
      <t>VS</t>
    </r>
  </si>
  <si>
    <r>
      <t>[</t>
    </r>
    <r>
      <rPr>
        <sz val="11"/>
        <color theme="1"/>
        <rFont val="Calibri"/>
        <family val="2"/>
      </rPr>
      <t>Ω/km]</t>
    </r>
  </si>
  <si>
    <r>
      <t>R'</t>
    </r>
    <r>
      <rPr>
        <vertAlign val="subscript"/>
        <sz val="11"/>
        <color theme="1"/>
        <rFont val="Calibri"/>
        <family val="2"/>
        <scheme val="minor"/>
      </rPr>
      <t>W</t>
    </r>
  </si>
  <si>
    <t>Y'</t>
  </si>
  <si>
    <t>Z'</t>
  </si>
  <si>
    <r>
      <t>Q'</t>
    </r>
    <r>
      <rPr>
        <vertAlign val="subscript"/>
        <sz val="11"/>
        <color theme="1"/>
        <rFont val="Calibri"/>
        <family val="2"/>
        <scheme val="minor"/>
      </rPr>
      <t>C</t>
    </r>
  </si>
  <si>
    <r>
      <t>I'</t>
    </r>
    <r>
      <rPr>
        <vertAlign val="subscript"/>
        <sz val="11"/>
        <color theme="1"/>
        <rFont val="Calibri"/>
        <family val="2"/>
        <scheme val="minor"/>
      </rPr>
      <t>C</t>
    </r>
  </si>
  <si>
    <r>
      <t>J</t>
    </r>
    <r>
      <rPr>
        <vertAlign val="subscript"/>
        <sz val="11"/>
        <color theme="1"/>
        <rFont val="Calibri"/>
        <family val="2"/>
      </rPr>
      <t>zul</t>
    </r>
  </si>
  <si>
    <t>Oberflächentemperatur - Kabel</t>
  </si>
  <si>
    <t>zulässiger thermischer Strom</t>
  </si>
  <si>
    <t>zulässiger thermischer Grenzlast</t>
  </si>
  <si>
    <t>zulässiger thermischer Stromdichte</t>
  </si>
  <si>
    <t>Leistungsverlust - bezogen</t>
  </si>
  <si>
    <t>Leistungsverlust - absolut</t>
  </si>
  <si>
    <r>
      <t>I</t>
    </r>
    <r>
      <rPr>
        <vertAlign val="subscript"/>
        <sz val="11"/>
        <color theme="1"/>
        <rFont val="Calibri"/>
        <family val="2"/>
        <scheme val="minor"/>
      </rPr>
      <t>zul</t>
    </r>
  </si>
  <si>
    <r>
      <t>S</t>
    </r>
    <r>
      <rPr>
        <vertAlign val="subscript"/>
        <sz val="11"/>
        <color theme="1"/>
        <rFont val="Calibri"/>
        <family val="2"/>
        <scheme val="minor"/>
      </rPr>
      <t>th</t>
    </r>
  </si>
  <si>
    <r>
      <t>P'</t>
    </r>
    <r>
      <rPr>
        <vertAlign val="subscript"/>
        <sz val="11"/>
        <color theme="1"/>
        <rFont val="Calibri"/>
        <family val="2"/>
        <scheme val="minor"/>
      </rPr>
      <t>VG%</t>
    </r>
  </si>
  <si>
    <r>
      <t>P</t>
    </r>
    <r>
      <rPr>
        <vertAlign val="subscript"/>
        <sz val="11"/>
        <color theme="1"/>
        <rFont val="Calibri"/>
        <family val="2"/>
        <scheme val="minor"/>
      </rPr>
      <t>VG%</t>
    </r>
  </si>
  <si>
    <t>[MVA]</t>
  </si>
  <si>
    <t>[MVAr]</t>
  </si>
  <si>
    <t>[kV]</t>
  </si>
  <si>
    <t>[kW/km]</t>
  </si>
  <si>
    <t>[kW]</t>
  </si>
  <si>
    <t>110kV</t>
  </si>
  <si>
    <t>400mm²</t>
  </si>
  <si>
    <t>500mm²</t>
  </si>
  <si>
    <t>30kV</t>
  </si>
  <si>
    <t>630mm²</t>
  </si>
  <si>
    <t>800mm²</t>
  </si>
  <si>
    <t>1000mm²</t>
  </si>
  <si>
    <t>Datenbank Kabel</t>
  </si>
  <si>
    <t>Suche :</t>
  </si>
  <si>
    <t>Werte gelten für jeweils ein System!</t>
  </si>
  <si>
    <t>[MW]</t>
  </si>
  <si>
    <t>[MVar]</t>
  </si>
  <si>
    <t>[kA]</t>
  </si>
  <si>
    <r>
      <t>S</t>
    </r>
    <r>
      <rPr>
        <vertAlign val="subscript"/>
        <sz val="11"/>
        <color theme="1"/>
        <rFont val="Calibri"/>
        <family val="2"/>
        <scheme val="minor"/>
      </rPr>
      <t>AV</t>
    </r>
  </si>
  <si>
    <r>
      <rPr>
        <sz val="11"/>
        <color theme="1"/>
        <rFont val="Calibri"/>
        <family val="2"/>
        <scheme val="minor"/>
      </rPr>
      <t>Q</t>
    </r>
    <r>
      <rPr>
        <vertAlign val="subscript"/>
        <sz val="11"/>
        <color theme="1"/>
        <rFont val="Calibri"/>
        <family val="2"/>
        <scheme val="minor"/>
      </rPr>
      <t>AV</t>
    </r>
  </si>
  <si>
    <r>
      <t>I</t>
    </r>
    <r>
      <rPr>
        <vertAlign val="subscript"/>
        <sz val="11"/>
        <color theme="1"/>
        <rFont val="Calibri"/>
        <family val="2"/>
        <scheme val="minor"/>
      </rPr>
      <t>AV</t>
    </r>
  </si>
  <si>
    <r>
      <t>I</t>
    </r>
    <r>
      <rPr>
        <vertAlign val="subscript"/>
        <sz val="11"/>
        <color theme="1"/>
        <rFont val="Calibri"/>
        <family val="2"/>
        <scheme val="minor"/>
      </rPr>
      <t>AV_wirk</t>
    </r>
  </si>
  <si>
    <r>
      <t>I</t>
    </r>
    <r>
      <rPr>
        <vertAlign val="subscript"/>
        <sz val="11"/>
        <color theme="1"/>
        <rFont val="Calibri"/>
        <family val="2"/>
        <scheme val="minor"/>
      </rPr>
      <t>AV_blind</t>
    </r>
  </si>
  <si>
    <t>Rahmenparameter:</t>
  </si>
  <si>
    <t>Kabelparameter</t>
  </si>
  <si>
    <t>ind.</t>
  </si>
  <si>
    <t>[kVar /km]</t>
  </si>
  <si>
    <t>[kVar/km</t>
  </si>
  <si>
    <t>Verlegung/</t>
  </si>
  <si>
    <t>Material/Temperatur</t>
  </si>
  <si>
    <r>
      <t>S</t>
    </r>
    <r>
      <rPr>
        <vertAlign val="subscript"/>
        <sz val="11"/>
        <color theme="1"/>
        <rFont val="Calibri"/>
        <family val="2"/>
        <scheme val="minor"/>
      </rPr>
      <t>AVSys</t>
    </r>
  </si>
  <si>
    <r>
      <t>Q</t>
    </r>
    <r>
      <rPr>
        <vertAlign val="subscript"/>
        <sz val="11"/>
        <color theme="1"/>
        <rFont val="Calibri"/>
        <family val="2"/>
        <scheme val="minor"/>
      </rPr>
      <t>AVSys</t>
    </r>
  </si>
  <si>
    <r>
      <t>I</t>
    </r>
    <r>
      <rPr>
        <vertAlign val="subscript"/>
        <sz val="11"/>
        <color theme="1"/>
        <rFont val="Calibri"/>
        <family val="2"/>
        <scheme val="minor"/>
      </rPr>
      <t>AVSys</t>
    </r>
  </si>
  <si>
    <r>
      <t>I</t>
    </r>
    <r>
      <rPr>
        <vertAlign val="subscript"/>
        <sz val="11"/>
        <color theme="1"/>
        <rFont val="Calibri"/>
        <family val="2"/>
        <scheme val="minor"/>
      </rPr>
      <t>AVSys_wirk</t>
    </r>
  </si>
  <si>
    <r>
      <t>I</t>
    </r>
    <r>
      <rPr>
        <vertAlign val="subscript"/>
        <sz val="11"/>
        <color theme="1"/>
        <rFont val="Calibri"/>
        <family val="2"/>
        <scheme val="minor"/>
      </rPr>
      <t>AVSys_blind</t>
    </r>
  </si>
  <si>
    <r>
      <t>ΔU</t>
    </r>
    <r>
      <rPr>
        <vertAlign val="subscript"/>
        <sz val="11"/>
        <color theme="1"/>
        <rFont val="Calibri"/>
        <family val="2"/>
      </rPr>
      <t>l</t>
    </r>
  </si>
  <si>
    <r>
      <t>ΔU</t>
    </r>
    <r>
      <rPr>
        <vertAlign val="subscript"/>
        <sz val="11"/>
        <color theme="1"/>
        <rFont val="Calibri"/>
        <family val="2"/>
      </rPr>
      <t>q</t>
    </r>
  </si>
  <si>
    <r>
      <t>P</t>
    </r>
    <r>
      <rPr>
        <vertAlign val="subscript"/>
        <sz val="11"/>
        <color theme="1"/>
        <rFont val="Calibri"/>
        <family val="2"/>
        <scheme val="minor"/>
      </rPr>
      <t>mG</t>
    </r>
  </si>
  <si>
    <r>
      <t>P</t>
    </r>
    <r>
      <rPr>
        <vertAlign val="subscript"/>
        <sz val="11"/>
        <color theme="1"/>
        <rFont val="Calibri"/>
        <family val="2"/>
        <scheme val="minor"/>
      </rPr>
      <t>mG%</t>
    </r>
  </si>
  <si>
    <t>WindparkLeistung, Jahresmittel</t>
  </si>
  <si>
    <r>
      <t>P</t>
    </r>
    <r>
      <rPr>
        <vertAlign val="subscript"/>
        <sz val="11"/>
        <color theme="1"/>
        <rFont val="Calibri"/>
        <family val="2"/>
        <scheme val="minor"/>
      </rPr>
      <t>VmG%</t>
    </r>
  </si>
  <si>
    <r>
      <t>P</t>
    </r>
    <r>
      <rPr>
        <vertAlign val="subscript"/>
        <sz val="11"/>
        <color theme="1"/>
        <rFont val="Calibri"/>
        <family val="2"/>
        <scheme val="minor"/>
      </rPr>
      <t>VmG</t>
    </r>
  </si>
  <si>
    <t xml:space="preserve">Leistungsverlust </t>
  </si>
  <si>
    <t xml:space="preserve">Spannungsfall  </t>
  </si>
  <si>
    <t>Windparkanschluss - vereinbarte Leistung</t>
  </si>
  <si>
    <r>
      <t>cosφ</t>
    </r>
    <r>
      <rPr>
        <vertAlign val="subscript"/>
        <sz val="11"/>
        <color theme="1"/>
        <rFont val="Calibri"/>
        <family val="2"/>
        <scheme val="minor"/>
      </rPr>
      <t>UW</t>
    </r>
  </si>
  <si>
    <r>
      <t>φ</t>
    </r>
    <r>
      <rPr>
        <vertAlign val="subscript"/>
        <sz val="11"/>
        <color theme="1"/>
        <rFont val="Calibri"/>
        <family val="2"/>
        <scheme val="minor"/>
      </rPr>
      <t>UW</t>
    </r>
  </si>
  <si>
    <t>[rad]</t>
  </si>
  <si>
    <t>ü</t>
  </si>
  <si>
    <t>110/32,5</t>
  </si>
  <si>
    <t>Auslastung</t>
  </si>
  <si>
    <t>[MVAR]</t>
  </si>
  <si>
    <r>
      <t>Q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</si>
  <si>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0T</t>
    </r>
  </si>
  <si>
    <r>
      <t>Q</t>
    </r>
    <r>
      <rPr>
        <vertAlign val="subscript"/>
        <sz val="11"/>
        <color theme="1"/>
        <rFont val="Calibri"/>
        <family val="2"/>
        <scheme val="minor"/>
      </rPr>
      <t>k</t>
    </r>
  </si>
  <si>
    <r>
      <t>Q</t>
    </r>
    <r>
      <rPr>
        <vertAlign val="subscript"/>
        <sz val="11"/>
        <color theme="1"/>
        <rFont val="Calibri"/>
        <family val="2"/>
        <scheme val="minor"/>
      </rPr>
      <t>T</t>
    </r>
  </si>
  <si>
    <r>
      <t>Q</t>
    </r>
    <r>
      <rPr>
        <vertAlign val="subscript"/>
        <sz val="11"/>
        <color theme="1"/>
        <rFont val="Calibri"/>
        <family val="2"/>
        <scheme val="minor"/>
      </rPr>
      <t>L_max.</t>
    </r>
  </si>
  <si>
    <t>Preis</t>
  </si>
  <si>
    <t>n.V.</t>
  </si>
  <si>
    <r>
      <t>S</t>
    </r>
    <r>
      <rPr>
        <vertAlign val="subscript"/>
        <sz val="11"/>
        <color theme="1"/>
        <rFont val="Calibri"/>
        <family val="2"/>
        <scheme val="minor"/>
      </rPr>
      <t>rt</t>
    </r>
  </si>
  <si>
    <r>
      <t>u</t>
    </r>
    <r>
      <rPr>
        <vertAlign val="subscript"/>
        <sz val="11"/>
        <color theme="1"/>
        <rFont val="Calibri"/>
        <family val="2"/>
        <scheme val="minor"/>
      </rPr>
      <t>k</t>
    </r>
  </si>
  <si>
    <r>
      <t>i</t>
    </r>
    <r>
      <rPr>
        <vertAlign val="subscript"/>
        <sz val="11"/>
        <color theme="1"/>
        <rFont val="Calibri"/>
        <family val="2"/>
        <scheme val="minor"/>
      </rPr>
      <t>0</t>
    </r>
  </si>
  <si>
    <r>
      <t>Q</t>
    </r>
    <r>
      <rPr>
        <vertAlign val="subscript"/>
        <sz val="11"/>
        <color theme="1"/>
        <rFont val="Calibri"/>
        <family val="2"/>
        <scheme val="minor"/>
      </rPr>
      <t>L_min.</t>
    </r>
  </si>
  <si>
    <r>
      <t>Q</t>
    </r>
    <r>
      <rPr>
        <vertAlign val="subscript"/>
        <sz val="11"/>
        <color theme="1"/>
        <rFont val="Calibri"/>
        <family val="2"/>
        <scheme val="minor"/>
      </rPr>
      <t>kT</t>
    </r>
  </si>
  <si>
    <t>Betrachtung der Ladeleistung und geforderten Betriebskapazität des Transformators</t>
  </si>
  <si>
    <r>
      <t>Bedarf kapazitive Blindleistung Q</t>
    </r>
    <r>
      <rPr>
        <vertAlign val="subscript"/>
        <sz val="11"/>
        <color theme="1"/>
        <rFont val="Calibri"/>
        <family val="2"/>
        <scheme val="minor"/>
      </rPr>
      <t>T</t>
    </r>
  </si>
  <si>
    <t>Ladeleistung</t>
  </si>
  <si>
    <t>Drosselleistung</t>
  </si>
  <si>
    <r>
      <t>a</t>
    </r>
    <r>
      <rPr>
        <vertAlign val="subscript"/>
        <sz val="11"/>
        <color theme="1"/>
        <rFont val="Calibri"/>
        <family val="2"/>
        <scheme val="minor"/>
      </rPr>
      <t>T</t>
    </r>
  </si>
  <si>
    <r>
      <t>S</t>
    </r>
    <r>
      <rPr>
        <vertAlign val="subscript"/>
        <sz val="11"/>
        <color theme="1"/>
        <rFont val="Calibri"/>
        <family val="2"/>
      </rPr>
      <t>rDrmax</t>
    </r>
  </si>
  <si>
    <t>mittlere erzeugte Jahresleistung - Windpark - Arbeitspunkt</t>
  </si>
  <si>
    <r>
      <t>θ</t>
    </r>
    <r>
      <rPr>
        <vertAlign val="subscript"/>
        <sz val="11"/>
        <color theme="1"/>
        <rFont val="Calibri"/>
        <family val="2"/>
      </rPr>
      <t>Betrieb</t>
    </r>
  </si>
  <si>
    <t>vereinbarte erzeugte Scheinleistung</t>
  </si>
  <si>
    <t>vereinbarte erzeugte Blindleistung</t>
  </si>
  <si>
    <t>vereinbarter erzeugter Strom - Betrag</t>
  </si>
  <si>
    <t>vereinbarter erzeugter Strom - Wirkanteil</t>
  </si>
  <si>
    <t>vereinabrter erzeugter Strom - Blindanteil</t>
  </si>
  <si>
    <t>[MVar /km]</t>
  </si>
  <si>
    <r>
      <t>I</t>
    </r>
    <r>
      <rPr>
        <vertAlign val="subscript"/>
        <sz val="11"/>
        <color theme="1"/>
        <rFont val="Calibri"/>
        <family val="2"/>
      </rPr>
      <t>C</t>
    </r>
    <r>
      <rPr>
        <sz val="11"/>
        <color theme="1"/>
        <rFont val="Calibri"/>
        <family val="2"/>
      </rPr>
      <t>'</t>
    </r>
  </si>
  <si>
    <t>Spannungsabfall</t>
  </si>
  <si>
    <t>Kenngrößen Transformator 40MVA</t>
  </si>
  <si>
    <t>Kenngrößen Transformator 100MVA</t>
  </si>
  <si>
    <r>
      <t>U</t>
    </r>
    <r>
      <rPr>
        <vertAlign val="subscript"/>
        <sz val="11"/>
        <color theme="1"/>
        <rFont val="Calibri"/>
        <family val="2"/>
        <scheme val="minor"/>
      </rPr>
      <t>N</t>
    </r>
  </si>
  <si>
    <r>
      <t xml:space="preserve"> vereinbart. Wirkleistung P</t>
    </r>
    <r>
      <rPr>
        <vertAlign val="subscript"/>
        <sz val="11"/>
        <color theme="1"/>
        <rFont val="Calibri"/>
        <family val="2"/>
        <scheme val="minor"/>
      </rPr>
      <t>AV</t>
    </r>
  </si>
  <si>
    <r>
      <t xml:space="preserve"> Nennspannung U</t>
    </r>
    <r>
      <rPr>
        <vertAlign val="subscript"/>
        <sz val="11"/>
        <color theme="1"/>
        <rFont val="Calibri"/>
        <family val="2"/>
        <scheme val="minor"/>
      </rPr>
      <t>N</t>
    </r>
  </si>
  <si>
    <r>
      <t xml:space="preserve"> Leistungsfaktor cos</t>
    </r>
    <r>
      <rPr>
        <sz val="11"/>
        <color theme="1"/>
        <rFont val="Calibri"/>
        <family val="2"/>
      </rPr>
      <t>φ</t>
    </r>
  </si>
  <si>
    <t xml:space="preserve"> Systemlänge l</t>
  </si>
  <si>
    <r>
      <t>Kabelquerschnitt q</t>
    </r>
    <r>
      <rPr>
        <vertAlign val="subscript"/>
        <sz val="11"/>
        <color theme="1"/>
        <rFont val="Calibri"/>
        <family val="2"/>
        <scheme val="minor"/>
      </rPr>
      <t>Kabel</t>
    </r>
  </si>
  <si>
    <t>Systemanzahl</t>
  </si>
  <si>
    <t>Ladestrom pro Kilometer</t>
  </si>
  <si>
    <t>Ladestrom am Netzverknüpfungspunkt</t>
  </si>
  <si>
    <r>
      <t>I</t>
    </r>
    <r>
      <rPr>
        <vertAlign val="subscript"/>
        <sz val="11"/>
        <color theme="1"/>
        <rFont val="Calibri"/>
        <family val="2"/>
      </rPr>
      <t>C</t>
    </r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</si>
</sst>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0.00000E+00"/>
    <numFmt numFmtId="165" formatCode="0.000"/>
    <numFmt numFmtId="166" formatCode="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4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Dashed">
        <color auto="1"/>
      </left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3" borderId="0" xfId="0" applyFill="1" applyBorder="1"/>
    <xf numFmtId="0" fontId="0" fillId="3" borderId="10" xfId="0" applyFill="1" applyBorder="1"/>
    <xf numFmtId="0" fontId="1" fillId="3" borderId="9" xfId="0" applyFont="1" applyFill="1" applyBorder="1"/>
    <xf numFmtId="0" fontId="0" fillId="4" borderId="0" xfId="0" applyFill="1" applyBorder="1"/>
    <xf numFmtId="0" fontId="1" fillId="3" borderId="10" xfId="0" applyFont="1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4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5" borderId="19" xfId="0" applyFill="1" applyBorder="1"/>
    <xf numFmtId="0" fontId="0" fillId="5" borderId="0" xfId="0" applyFill="1" applyBorder="1"/>
    <xf numFmtId="0" fontId="0" fillId="5" borderId="23" xfId="0" applyFill="1" applyBorder="1"/>
    <xf numFmtId="0" fontId="0" fillId="5" borderId="20" xfId="0" applyFill="1" applyBorder="1"/>
    <xf numFmtId="0" fontId="0" fillId="5" borderId="4" xfId="0" applyFill="1" applyBorder="1"/>
    <xf numFmtId="0" fontId="0" fillId="5" borderId="22" xfId="0" applyFill="1" applyBorder="1"/>
    <xf numFmtId="0" fontId="0" fillId="6" borderId="0" xfId="0" applyFill="1" applyBorder="1"/>
    <xf numFmtId="0" fontId="0" fillId="6" borderId="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0" fillId="6" borderId="26" xfId="0" applyFill="1" applyBorder="1"/>
    <xf numFmtId="0" fontId="0" fillId="6" borderId="25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0" xfId="0" applyFill="1"/>
    <xf numFmtId="0" fontId="0" fillId="6" borderId="6" xfId="0" applyFill="1" applyBorder="1"/>
    <xf numFmtId="0" fontId="0" fillId="6" borderId="8" xfId="0" applyFill="1" applyBorder="1"/>
    <xf numFmtId="0" fontId="0" fillId="4" borderId="4" xfId="0" applyFill="1" applyBorder="1" applyAlignment="1">
      <alignment horizontal="center"/>
    </xf>
    <xf numFmtId="0" fontId="0" fillId="5" borderId="6" xfId="0" applyFill="1" applyBorder="1"/>
    <xf numFmtId="0" fontId="2" fillId="4" borderId="4" xfId="0" applyFont="1" applyFill="1" applyBorder="1" applyAlignment="1">
      <alignment horizontal="center"/>
    </xf>
    <xf numFmtId="2" fontId="0" fillId="2" borderId="0" xfId="0" applyNumberFormat="1" applyFill="1" applyBorder="1"/>
    <xf numFmtId="2" fontId="0" fillId="5" borderId="19" xfId="0" applyNumberFormat="1" applyFill="1" applyBorder="1"/>
    <xf numFmtId="2" fontId="0" fillId="5" borderId="0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8" xfId="0" applyBorder="1"/>
    <xf numFmtId="0" fontId="0" fillId="0" borderId="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7" xfId="0" applyBorder="1"/>
    <xf numFmtId="0" fontId="0" fillId="5" borderId="30" xfId="0" applyFill="1" applyBorder="1"/>
    <xf numFmtId="0" fontId="0" fillId="5" borderId="31" xfId="0" applyFill="1" applyBorder="1"/>
    <xf numFmtId="0" fontId="0" fillId="7" borderId="19" xfId="0" applyFill="1" applyBorder="1" applyProtection="1">
      <protection locked="0"/>
    </xf>
    <xf numFmtId="0" fontId="0" fillId="7" borderId="0" xfId="0" applyFill="1" applyBorder="1" applyProtection="1">
      <protection locked="0"/>
    </xf>
    <xf numFmtId="0" fontId="0" fillId="7" borderId="7" xfId="0" applyFill="1" applyBorder="1" applyProtection="1">
      <protection locked="0"/>
    </xf>
    <xf numFmtId="2" fontId="0" fillId="4" borderId="0" xfId="0" applyNumberFormat="1" applyFill="1" applyBorder="1"/>
    <xf numFmtId="2" fontId="0" fillId="3" borderId="0" xfId="0" applyNumberFormat="1" applyFill="1" applyBorder="1"/>
    <xf numFmtId="0" fontId="0" fillId="6" borderId="3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0" xfId="0" applyFill="1" applyBorder="1" applyProtection="1"/>
    <xf numFmtId="0" fontId="0" fillId="6" borderId="19" xfId="0" applyFill="1" applyBorder="1" applyProtection="1"/>
    <xf numFmtId="0" fontId="1" fillId="3" borderId="0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3" fontId="0" fillId="7" borderId="19" xfId="0" applyNumberFormat="1" applyFill="1" applyBorder="1" applyProtection="1">
      <protection locked="0"/>
    </xf>
    <xf numFmtId="0" fontId="0" fillId="4" borderId="0" xfId="0" applyFill="1"/>
    <xf numFmtId="0" fontId="0" fillId="4" borderId="10" xfId="0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164" fontId="0" fillId="4" borderId="0" xfId="0" applyNumberFormat="1" applyFill="1" applyBorder="1" applyAlignment="1">
      <alignment horizontal="left"/>
    </xf>
    <xf numFmtId="2" fontId="0" fillId="4" borderId="0" xfId="0" applyNumberFormat="1" applyFill="1" applyBorder="1" applyAlignment="1">
      <alignment horizontal="left"/>
    </xf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165" fontId="1" fillId="4" borderId="0" xfId="0" applyNumberFormat="1" applyFont="1" applyFill="1" applyBorder="1"/>
    <xf numFmtId="165" fontId="0" fillId="4" borderId="0" xfId="0" applyNumberFormat="1" applyFill="1" applyBorder="1"/>
    <xf numFmtId="0" fontId="0" fillId="8" borderId="0" xfId="0" applyFill="1"/>
    <xf numFmtId="165" fontId="0" fillId="4" borderId="0" xfId="0" applyNumberFormat="1" applyFill="1" applyBorder="1" applyAlignment="1">
      <alignment horizontal="center"/>
    </xf>
    <xf numFmtId="0" fontId="0" fillId="5" borderId="37" xfId="0" applyFill="1" applyBorder="1"/>
    <xf numFmtId="0" fontId="0" fillId="5" borderId="38" xfId="0" applyFill="1" applyBorder="1"/>
    <xf numFmtId="0" fontId="0" fillId="5" borderId="39" xfId="0" applyFill="1" applyBorder="1"/>
    <xf numFmtId="0" fontId="1" fillId="8" borderId="0" xfId="0" applyFont="1" applyFill="1" applyBorder="1"/>
    <xf numFmtId="0" fontId="0" fillId="6" borderId="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166" fontId="0" fillId="4" borderId="0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3" borderId="11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6" fillId="6" borderId="0" xfId="0" applyFont="1" applyFill="1"/>
    <xf numFmtId="0" fontId="0" fillId="6" borderId="44" xfId="0" applyFill="1" applyBorder="1"/>
    <xf numFmtId="0" fontId="0" fillId="6" borderId="35" xfId="0" applyFill="1" applyBorder="1"/>
    <xf numFmtId="0" fontId="0" fillId="6" borderId="45" xfId="0" applyFill="1" applyBorder="1"/>
    <xf numFmtId="0" fontId="0" fillId="6" borderId="46" xfId="0" applyFill="1" applyBorder="1"/>
    <xf numFmtId="0" fontId="0" fillId="6" borderId="38" xfId="0" applyFill="1" applyBorder="1"/>
    <xf numFmtId="0" fontId="0" fillId="6" borderId="39" xfId="0" applyFill="1" applyBorder="1"/>
    <xf numFmtId="0" fontId="0" fillId="6" borderId="23" xfId="0" applyFill="1" applyBorder="1"/>
    <xf numFmtId="1" fontId="0" fillId="6" borderId="19" xfId="0" applyNumberFormat="1" applyFill="1" applyBorder="1" applyAlignment="1">
      <alignment horizontal="center"/>
    </xf>
    <xf numFmtId="2" fontId="0" fillId="6" borderId="19" xfId="0" applyNumberFormat="1" applyFill="1" applyBorder="1" applyAlignment="1">
      <alignment horizontal="center"/>
    </xf>
    <xf numFmtId="2" fontId="0" fillId="6" borderId="19" xfId="0" applyNumberFormat="1" applyFill="1" applyBorder="1"/>
    <xf numFmtId="0" fontId="0" fillId="6" borderId="24" xfId="0" applyFill="1" applyBorder="1"/>
    <xf numFmtId="1" fontId="0" fillId="6" borderId="0" xfId="0" applyNumberFormat="1" applyFill="1" applyBorder="1" applyAlignment="1">
      <alignment horizontal="center"/>
    </xf>
    <xf numFmtId="2" fontId="0" fillId="6" borderId="0" xfId="0" applyNumberFormat="1" applyFill="1" applyBorder="1" applyAlignment="1">
      <alignment horizontal="center"/>
    </xf>
    <xf numFmtId="2" fontId="0" fillId="6" borderId="0" xfId="0" applyNumberFormat="1" applyFill="1" applyBorder="1"/>
    <xf numFmtId="1" fontId="0" fillId="6" borderId="35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2" fontId="0" fillId="6" borderId="35" xfId="0" applyNumberFormat="1" applyFill="1" applyBorder="1"/>
    <xf numFmtId="0" fontId="0" fillId="5" borderId="18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0" fillId="5" borderId="23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4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4" borderId="24" xfId="0" applyFont="1" applyFill="1" applyBorder="1" applyAlignment="1" applyProtection="1">
      <alignment horizontal="center"/>
    </xf>
    <xf numFmtId="0" fontId="1" fillId="4" borderId="5" xfId="0" applyFont="1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</xf>
    <xf numFmtId="0" fontId="0" fillId="4" borderId="24" xfId="0" applyFill="1" applyBorder="1" applyAlignment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7" fillId="6" borderId="2" xfId="0" applyFont="1" applyFill="1" applyBorder="1"/>
    <xf numFmtId="165" fontId="0" fillId="3" borderId="0" xfId="0" applyNumberFormat="1" applyFill="1" applyBorder="1"/>
    <xf numFmtId="165" fontId="0" fillId="3" borderId="0" xfId="0" applyNumberFormat="1" applyFill="1" applyBorder="1" applyProtection="1">
      <protection locked="0"/>
    </xf>
    <xf numFmtId="0" fontId="0" fillId="4" borderId="9" xfId="0" applyFill="1" applyBorder="1"/>
    <xf numFmtId="0" fontId="0" fillId="4" borderId="10" xfId="0" applyFill="1" applyBorder="1"/>
    <xf numFmtId="0" fontId="0" fillId="6" borderId="33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6" borderId="43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5" borderId="19" xfId="0" applyFill="1" applyBorder="1" applyAlignment="1">
      <alignment horizontal="right"/>
    </xf>
    <xf numFmtId="0" fontId="0" fillId="5" borderId="0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0" xfId="0" applyFill="1" applyBorder="1" applyAlignment="1">
      <alignment horizontal="right"/>
    </xf>
    <xf numFmtId="2" fontId="0" fillId="6" borderId="0" xfId="0" applyNumberFormat="1" applyFill="1"/>
    <xf numFmtId="0" fontId="0" fillId="9" borderId="0" xfId="0" applyFill="1"/>
    <xf numFmtId="0" fontId="8" fillId="6" borderId="2" xfId="0" applyFont="1" applyFill="1" applyBorder="1"/>
    <xf numFmtId="0" fontId="1" fillId="6" borderId="0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44" fontId="0" fillId="6" borderId="7" xfId="0" applyNumberFormat="1" applyFill="1" applyBorder="1"/>
    <xf numFmtId="0" fontId="0" fillId="6" borderId="25" xfId="0" applyFill="1" applyBorder="1" applyAlignment="1">
      <alignment horizontal="center"/>
    </xf>
    <xf numFmtId="44" fontId="0" fillId="6" borderId="0" xfId="0" applyNumberFormat="1" applyFill="1" applyBorder="1"/>
    <xf numFmtId="0" fontId="0" fillId="4" borderId="47" xfId="0" applyFill="1" applyBorder="1" applyAlignment="1">
      <alignment horizontal="center"/>
    </xf>
    <xf numFmtId="2" fontId="0" fillId="4" borderId="12" xfId="0" applyNumberFormat="1" applyFill="1" applyBorder="1"/>
    <xf numFmtId="0" fontId="0" fillId="4" borderId="13" xfId="0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0" fillId="4" borderId="12" xfId="0" applyFill="1" applyBorder="1"/>
    <xf numFmtId="0" fontId="0" fillId="4" borderId="13" xfId="0" applyFill="1" applyBorder="1"/>
    <xf numFmtId="0" fontId="0" fillId="4" borderId="11" xfId="0" applyFill="1" applyBorder="1"/>
    <xf numFmtId="0" fontId="0" fillId="4" borderId="12" xfId="0" applyFill="1" applyBorder="1" applyAlignment="1">
      <alignment horizontal="center"/>
    </xf>
  </cellXfs>
  <cellStyles count="1">
    <cellStyle name="Standard" xfId="0" builtinId="0"/>
  </cellStyles>
  <dxfs count="8">
    <dxf>
      <font>
        <condense val="0"/>
        <extend val="0"/>
        <color rgb="FF9C0006"/>
      </font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Formeln!$E$77</c:f>
              <c:strCache>
                <c:ptCount val="1"/>
                <c:pt idx="0">
                  <c:v>Bedarf kapazitive Blindleistung QT</c:v>
                </c:pt>
              </c:strCache>
            </c:strRef>
          </c:tx>
          <c:xVal>
            <c:numRef>
              <c:f>Formeln!$B$78:$B$90</c:f>
              <c:numCache>
                <c:formatCode>0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24.21</c:v>
                </c:pt>
                <c:pt idx="4">
                  <c:v>30</c:v>
                </c:pt>
                <c:pt idx="5">
                  <c:v>40</c:v>
                </c:pt>
                <c:pt idx="6">
                  <c:v>48.42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</c:numCache>
            </c:numRef>
          </c:xVal>
          <c:yVal>
            <c:numRef>
              <c:f>Formeln!$E$78:$E$90</c:f>
              <c:numCache>
                <c:formatCode>0.00</c:formatCode>
                <c:ptCount val="13"/>
                <c:pt idx="0">
                  <c:v>3.2</c:v>
                </c:pt>
                <c:pt idx="1">
                  <c:v>3.3269600000000001</c:v>
                </c:pt>
                <c:pt idx="2">
                  <c:v>3.70784</c:v>
                </c:pt>
                <c:pt idx="3">
                  <c:v>3.9441431573600001</c:v>
                </c:pt>
                <c:pt idx="4">
                  <c:v>4.3426399999999994</c:v>
                </c:pt>
                <c:pt idx="5">
                  <c:v>5.2313600000000005</c:v>
                </c:pt>
                <c:pt idx="6">
                  <c:v>6.1765726294400007</c:v>
                </c:pt>
                <c:pt idx="7">
                  <c:v>6.3739999999999997</c:v>
                </c:pt>
                <c:pt idx="8">
                  <c:v>7.7705599999999988</c:v>
                </c:pt>
                <c:pt idx="9">
                  <c:v>9.4210399999999979</c:v>
                </c:pt>
                <c:pt idx="10">
                  <c:v>11.32544</c:v>
                </c:pt>
                <c:pt idx="11">
                  <c:v>13.48376</c:v>
                </c:pt>
                <c:pt idx="12">
                  <c:v>15.895999999999997</c:v>
                </c:pt>
              </c:numCache>
            </c:numRef>
          </c:yVal>
        </c:ser>
        <c:ser>
          <c:idx val="1"/>
          <c:order val="1"/>
          <c:tx>
            <c:strRef>
              <c:f>Formeln!$F$77</c:f>
              <c:strCache>
                <c:ptCount val="1"/>
                <c:pt idx="0">
                  <c:v>Ladeleistung</c:v>
                </c:pt>
              </c:strCache>
            </c:strRef>
          </c:tx>
          <c:xVal>
            <c:numRef>
              <c:f>Formeln!$B$78:$B$90</c:f>
              <c:numCache>
                <c:formatCode>0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24.21</c:v>
                </c:pt>
                <c:pt idx="4">
                  <c:v>30</c:v>
                </c:pt>
                <c:pt idx="5">
                  <c:v>40</c:v>
                </c:pt>
                <c:pt idx="6">
                  <c:v>48.42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</c:numCache>
            </c:numRef>
          </c:xVal>
          <c:yVal>
            <c:numRef>
              <c:f>Formeln!$F$78:$F$90</c:f>
              <c:numCache>
                <c:formatCode>0.00</c:formatCode>
                <c:ptCount val="13"/>
                <c:pt idx="0">
                  <c:v>13.45669797238652</c:v>
                </c:pt>
                <c:pt idx="1">
                  <c:v>13.45669797238652</c:v>
                </c:pt>
                <c:pt idx="2">
                  <c:v>13.45669797238652</c:v>
                </c:pt>
                <c:pt idx="3">
                  <c:v>13.45669797238652</c:v>
                </c:pt>
                <c:pt idx="4">
                  <c:v>13.45669797238652</c:v>
                </c:pt>
                <c:pt idx="5">
                  <c:v>13.45669797238652</c:v>
                </c:pt>
                <c:pt idx="6">
                  <c:v>13.45669797238652</c:v>
                </c:pt>
                <c:pt idx="7">
                  <c:v>13.45669797238652</c:v>
                </c:pt>
                <c:pt idx="8">
                  <c:v>13.45669797238652</c:v>
                </c:pt>
                <c:pt idx="9">
                  <c:v>13.45669797238652</c:v>
                </c:pt>
                <c:pt idx="10">
                  <c:v>13.45669797238652</c:v>
                </c:pt>
                <c:pt idx="11">
                  <c:v>13.45669797238652</c:v>
                </c:pt>
                <c:pt idx="12">
                  <c:v>13.45669797238652</c:v>
                </c:pt>
              </c:numCache>
            </c:numRef>
          </c:yVal>
        </c:ser>
        <c:ser>
          <c:idx val="2"/>
          <c:order val="2"/>
          <c:tx>
            <c:strRef>
              <c:f>Formeln!$G$77</c:f>
              <c:strCache>
                <c:ptCount val="1"/>
                <c:pt idx="0">
                  <c:v>Drosselleistung</c:v>
                </c:pt>
              </c:strCache>
            </c:strRef>
          </c:tx>
          <c:xVal>
            <c:numRef>
              <c:f>Formeln!$B$78:$B$90</c:f>
              <c:numCache>
                <c:formatCode>0</c:formatCode>
                <c:ptCount val="1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24.21</c:v>
                </c:pt>
                <c:pt idx="4">
                  <c:v>30</c:v>
                </c:pt>
                <c:pt idx="5">
                  <c:v>40</c:v>
                </c:pt>
                <c:pt idx="6">
                  <c:v>48.42</c:v>
                </c:pt>
                <c:pt idx="7">
                  <c:v>50</c:v>
                </c:pt>
                <c:pt idx="8">
                  <c:v>60</c:v>
                </c:pt>
                <c:pt idx="9">
                  <c:v>70</c:v>
                </c:pt>
                <c:pt idx="10">
                  <c:v>80</c:v>
                </c:pt>
                <c:pt idx="11">
                  <c:v>90</c:v>
                </c:pt>
                <c:pt idx="12">
                  <c:v>100</c:v>
                </c:pt>
              </c:numCache>
            </c:numRef>
          </c:xVal>
          <c:yVal>
            <c:numRef>
              <c:f>Formeln!$G$78:$G$90</c:f>
              <c:numCache>
                <c:formatCode>0.00</c:formatCode>
                <c:ptCount val="13"/>
                <c:pt idx="0">
                  <c:v>10.256697972386519</c:v>
                </c:pt>
                <c:pt idx="1">
                  <c:v>10.12973797238652</c:v>
                </c:pt>
                <c:pt idx="2">
                  <c:v>9.7488579723865207</c:v>
                </c:pt>
                <c:pt idx="3">
                  <c:v>9.5125548150265189</c:v>
                </c:pt>
                <c:pt idx="4">
                  <c:v>9.1140579723865205</c:v>
                </c:pt>
                <c:pt idx="5">
                  <c:v>8.2253379723865194</c:v>
                </c:pt>
                <c:pt idx="6">
                  <c:v>7.2801253429465191</c:v>
                </c:pt>
                <c:pt idx="7">
                  <c:v>7.0826979723865202</c:v>
                </c:pt>
                <c:pt idx="8">
                  <c:v>5.6861379723865211</c:v>
                </c:pt>
                <c:pt idx="9">
                  <c:v>4.035657972386522</c:v>
                </c:pt>
                <c:pt idx="10">
                  <c:v>2.1312579723865195</c:v>
                </c:pt>
                <c:pt idx="11">
                  <c:v>-2.7062027613480311E-2</c:v>
                </c:pt>
                <c:pt idx="12">
                  <c:v>-2.4393020276134774</c:v>
                </c:pt>
              </c:numCache>
            </c:numRef>
          </c:yVal>
        </c:ser>
        <c:axId val="103107584"/>
        <c:axId val="103117568"/>
      </c:scatterChart>
      <c:valAx>
        <c:axId val="103107584"/>
        <c:scaling>
          <c:orientation val="minMax"/>
        </c:scaling>
        <c:axPos val="b"/>
        <c:numFmt formatCode="0" sourceLinked="1"/>
        <c:tickLblPos val="nextTo"/>
        <c:crossAx val="103117568"/>
        <c:crosses val="autoZero"/>
        <c:crossBetween val="midCat"/>
      </c:valAx>
      <c:valAx>
        <c:axId val="103117568"/>
        <c:scaling>
          <c:orientation val="minMax"/>
        </c:scaling>
        <c:axPos val="l"/>
        <c:majorGridlines/>
        <c:numFmt formatCode="0.00" sourceLinked="1"/>
        <c:tickLblPos val="nextTo"/>
        <c:crossAx val="10310758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447674</xdr:colOff>
      <xdr:row>90</xdr:row>
      <xdr:rowOff>142875</xdr:rowOff>
    </xdr:from>
    <xdr:to>
      <xdr:col>8</xdr:col>
      <xdr:colOff>200024</xdr:colOff>
      <xdr:row>107</xdr:row>
      <xdr:rowOff>66675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workbookViewId="0">
      <selection activeCell="O28" sqref="O28"/>
    </sheetView>
  </sheetViews>
  <sheetFormatPr baseColWidth="10" defaultRowHeight="15"/>
  <cols>
    <col min="1" max="1" width="6.28515625" customWidth="1"/>
    <col min="2" max="2" width="7.140625" customWidth="1"/>
    <col min="3" max="3" width="24.28515625" customWidth="1"/>
    <col min="4" max="4" width="5.5703125" customWidth="1"/>
    <col min="5" max="5" width="6.140625" customWidth="1"/>
    <col min="6" max="6" width="8.85546875" customWidth="1"/>
    <col min="7" max="7" width="5.42578125" customWidth="1"/>
    <col min="8" max="8" width="9" customWidth="1"/>
    <col min="9" max="9" width="9.42578125" customWidth="1"/>
    <col min="12" max="12" width="13" bestFit="1" customWidth="1"/>
  </cols>
  <sheetData>
    <row r="1" spans="1:18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N1" s="36"/>
      <c r="O1" s="36"/>
      <c r="P1" s="36"/>
      <c r="Q1" s="36"/>
      <c r="R1" s="36"/>
    </row>
    <row r="2" spans="1:18" ht="15.75" thickBo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5.75" thickTop="1">
      <c r="A3" s="36"/>
      <c r="B3" s="31"/>
      <c r="C3" s="32" t="s">
        <v>122</v>
      </c>
      <c r="D3" s="32"/>
      <c r="E3" s="33"/>
      <c r="F3" s="32" t="s">
        <v>127</v>
      </c>
      <c r="G3" s="32"/>
      <c r="H3" s="32"/>
      <c r="I3" s="31" t="s">
        <v>123</v>
      </c>
      <c r="J3" s="32"/>
      <c r="K3" s="33"/>
      <c r="L3" s="36"/>
      <c r="M3" s="36"/>
      <c r="N3" s="36"/>
      <c r="O3" s="36"/>
      <c r="P3" s="36"/>
      <c r="Q3" s="36"/>
      <c r="R3" s="36"/>
    </row>
    <row r="4" spans="1:18">
      <c r="A4" s="36"/>
      <c r="B4" s="102"/>
      <c r="C4" s="22"/>
      <c r="D4" s="22"/>
      <c r="E4" s="35"/>
      <c r="F4" s="22" t="s">
        <v>128</v>
      </c>
      <c r="G4" s="22"/>
      <c r="H4" s="22"/>
      <c r="I4" s="34"/>
      <c r="J4" s="22"/>
      <c r="K4" s="35"/>
      <c r="L4" s="36"/>
      <c r="M4" s="36"/>
      <c r="N4" s="36"/>
      <c r="O4" s="36"/>
      <c r="P4" s="36"/>
      <c r="Q4" s="36"/>
      <c r="R4" s="36"/>
    </row>
    <row r="5" spans="1:18" ht="18">
      <c r="A5" s="36"/>
      <c r="B5" s="18"/>
      <c r="C5" s="157" t="s">
        <v>182</v>
      </c>
      <c r="D5" s="71">
        <v>53.3</v>
      </c>
      <c r="E5" s="132" t="s">
        <v>114</v>
      </c>
      <c r="F5" s="119" t="s">
        <v>9</v>
      </c>
      <c r="G5" s="58">
        <v>1</v>
      </c>
      <c r="H5" s="126" t="s">
        <v>8</v>
      </c>
      <c r="I5" s="123" t="s">
        <v>4</v>
      </c>
      <c r="J5" s="66">
        <f>Kabeldaten!A5</f>
        <v>6.2199999999999998E-2</v>
      </c>
      <c r="K5" s="129" t="s">
        <v>5</v>
      </c>
      <c r="L5" s="36"/>
      <c r="M5" s="36"/>
      <c r="N5" s="36"/>
      <c r="O5" s="36"/>
      <c r="P5" s="36"/>
      <c r="Q5" s="36"/>
      <c r="R5" s="36"/>
    </row>
    <row r="6" spans="1:18" ht="18">
      <c r="A6" s="36"/>
      <c r="B6" s="20"/>
      <c r="C6" s="158" t="s">
        <v>183</v>
      </c>
      <c r="D6" s="59">
        <v>110</v>
      </c>
      <c r="E6" s="127" t="s">
        <v>101</v>
      </c>
      <c r="F6" s="120" t="s">
        <v>10</v>
      </c>
      <c r="G6" s="59">
        <v>0.05</v>
      </c>
      <c r="H6" s="125" t="s">
        <v>8</v>
      </c>
      <c r="I6" s="124" t="s">
        <v>3</v>
      </c>
      <c r="J6" s="65">
        <f>Kabeldaten!B5</f>
        <v>4.6899999999999997E-2</v>
      </c>
      <c r="K6" s="130" t="s">
        <v>5</v>
      </c>
      <c r="L6" s="36"/>
      <c r="M6" s="36"/>
      <c r="N6" s="36"/>
      <c r="O6" s="36"/>
      <c r="P6" s="36"/>
      <c r="Q6" s="36"/>
      <c r="R6" s="36"/>
    </row>
    <row r="7" spans="1:18" ht="18">
      <c r="A7" s="36"/>
      <c r="B7" s="20"/>
      <c r="C7" s="158" t="s">
        <v>184</v>
      </c>
      <c r="D7" s="59">
        <v>0.95</v>
      </c>
      <c r="E7" s="133" t="s">
        <v>124</v>
      </c>
      <c r="F7" s="121" t="s">
        <v>25</v>
      </c>
      <c r="G7" s="59">
        <v>1</v>
      </c>
      <c r="H7" s="127" t="s">
        <v>22</v>
      </c>
      <c r="I7" s="124" t="s">
        <v>0</v>
      </c>
      <c r="J7" s="65">
        <f>Kabeldaten!C5</f>
        <v>0.38</v>
      </c>
      <c r="K7" s="131" t="s">
        <v>6</v>
      </c>
      <c r="L7" s="36"/>
      <c r="M7" s="36"/>
      <c r="N7" s="36"/>
      <c r="O7" s="36"/>
      <c r="P7" s="36"/>
      <c r="Q7" s="36"/>
      <c r="R7" s="36"/>
    </row>
    <row r="8" spans="1:18" ht="18">
      <c r="A8" s="36"/>
      <c r="B8" s="20"/>
      <c r="C8" s="158" t="s">
        <v>185</v>
      </c>
      <c r="D8" s="59">
        <v>20</v>
      </c>
      <c r="E8" s="127" t="s">
        <v>16</v>
      </c>
      <c r="F8" s="121" t="s">
        <v>26</v>
      </c>
      <c r="G8" s="59">
        <v>3.5</v>
      </c>
      <c r="H8" s="127" t="s">
        <v>22</v>
      </c>
      <c r="I8" s="124" t="s">
        <v>1</v>
      </c>
      <c r="J8" s="65">
        <f>Kabeldaten!D5</f>
        <v>0.17699999999999999</v>
      </c>
      <c r="K8" s="131" t="s">
        <v>7</v>
      </c>
      <c r="L8" s="36"/>
      <c r="M8" s="36"/>
      <c r="N8" s="36"/>
      <c r="O8" s="36"/>
      <c r="P8" s="36"/>
      <c r="Q8" s="36"/>
      <c r="R8" s="36"/>
    </row>
    <row r="9" spans="1:18" ht="18">
      <c r="A9" s="36"/>
      <c r="B9" s="20"/>
      <c r="C9" s="160" t="s">
        <v>186</v>
      </c>
      <c r="D9" s="59">
        <v>630</v>
      </c>
      <c r="E9" s="127" t="s">
        <v>15</v>
      </c>
      <c r="F9" s="121" t="s">
        <v>170</v>
      </c>
      <c r="G9" s="59">
        <v>90</v>
      </c>
      <c r="H9" s="127" t="s">
        <v>24</v>
      </c>
      <c r="I9" s="124" t="s">
        <v>11</v>
      </c>
      <c r="J9" s="65">
        <f>Kabeldaten!E5</f>
        <v>81</v>
      </c>
      <c r="K9" s="131" t="s">
        <v>2</v>
      </c>
      <c r="L9" s="36"/>
      <c r="M9" s="36"/>
      <c r="N9" s="36"/>
      <c r="O9" s="36"/>
      <c r="P9" s="36"/>
      <c r="Q9" s="36"/>
      <c r="R9" s="36"/>
    </row>
    <row r="10" spans="1:18" ht="18.75" thickBot="1">
      <c r="A10" s="36"/>
      <c r="B10" s="40"/>
      <c r="C10" s="159" t="s">
        <v>187</v>
      </c>
      <c r="D10" s="60">
        <v>2</v>
      </c>
      <c r="E10" s="128" t="s">
        <v>74</v>
      </c>
      <c r="F10" s="122" t="s">
        <v>72</v>
      </c>
      <c r="G10" s="60">
        <v>15</v>
      </c>
      <c r="H10" s="128" t="s">
        <v>24</v>
      </c>
      <c r="I10" s="77"/>
      <c r="J10" s="78"/>
      <c r="K10" s="79"/>
      <c r="L10" s="36"/>
      <c r="M10" s="36"/>
      <c r="N10" s="36"/>
      <c r="O10" s="36"/>
      <c r="P10" s="36"/>
      <c r="Q10" s="36"/>
      <c r="R10" s="36"/>
    </row>
    <row r="11" spans="1:18" ht="16.5" thickTop="1" thickBo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18" ht="15.75" thickTop="1">
      <c r="A12" s="31" t="s">
        <v>73</v>
      </c>
      <c r="B12" s="32"/>
      <c r="C12" s="163" t="s">
        <v>113</v>
      </c>
      <c r="D12" s="163"/>
      <c r="E12" s="163"/>
      <c r="F12" s="134"/>
      <c r="G12" s="32"/>
      <c r="H12" s="32"/>
      <c r="I12" s="32"/>
      <c r="J12" s="32"/>
      <c r="K12" s="32"/>
      <c r="L12" s="32"/>
      <c r="M12" s="32"/>
      <c r="N12" s="34"/>
      <c r="O12" s="36"/>
      <c r="P12" s="36"/>
      <c r="Q12" s="36"/>
      <c r="R12" s="36"/>
    </row>
    <row r="13" spans="1:18">
      <c r="A13" s="34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4"/>
      <c r="O13" s="36"/>
      <c r="P13" s="36"/>
      <c r="Q13" s="36"/>
      <c r="R13" s="36"/>
    </row>
    <row r="14" spans="1:18">
      <c r="A14" s="18" t="s">
        <v>171</v>
      </c>
      <c r="B14" s="16"/>
      <c r="C14" s="19"/>
      <c r="D14" s="24"/>
      <c r="E14" s="25"/>
      <c r="F14" s="26"/>
      <c r="G14" s="16" t="s">
        <v>92</v>
      </c>
      <c r="H14" s="16"/>
      <c r="I14" s="16"/>
      <c r="J14" s="16"/>
      <c r="K14" s="16" t="s">
        <v>178</v>
      </c>
      <c r="L14" s="16"/>
      <c r="M14" s="16"/>
      <c r="N14" s="34"/>
      <c r="O14" s="36"/>
      <c r="P14" s="36"/>
      <c r="Q14" s="36"/>
      <c r="R14" s="36"/>
    </row>
    <row r="15" spans="1:18" ht="18">
      <c r="A15" s="39" t="s">
        <v>117</v>
      </c>
      <c r="B15" s="42">
        <f>Formeln!B17</f>
        <v>28.05263157894737</v>
      </c>
      <c r="C15" s="125" t="s">
        <v>99</v>
      </c>
      <c r="D15" s="27"/>
      <c r="E15" s="22"/>
      <c r="F15" s="28"/>
      <c r="G15" s="14" t="s">
        <v>88</v>
      </c>
      <c r="H15" s="42">
        <f>Formeln!N26</f>
        <v>0.40654187730355651</v>
      </c>
      <c r="I15" s="13" t="s">
        <v>71</v>
      </c>
      <c r="J15" s="22"/>
      <c r="K15" s="14" t="s">
        <v>46</v>
      </c>
      <c r="L15" s="42">
        <f>Formeln!H19</f>
        <v>-0.44777773680369715</v>
      </c>
      <c r="M15" s="13" t="s">
        <v>48</v>
      </c>
      <c r="N15" s="34"/>
      <c r="O15" s="36"/>
      <c r="P15" s="36"/>
      <c r="Q15" s="36"/>
      <c r="R15" s="36"/>
    </row>
    <row r="16" spans="1:18">
      <c r="A16" s="18" t="s">
        <v>172</v>
      </c>
      <c r="B16" s="43"/>
      <c r="C16" s="19"/>
      <c r="D16" s="27"/>
      <c r="E16" s="22"/>
      <c r="F16" s="28"/>
      <c r="G16" s="17" t="s">
        <v>90</v>
      </c>
      <c r="H16" s="44"/>
      <c r="I16" s="17"/>
      <c r="J16" s="17"/>
      <c r="K16" s="14" t="s">
        <v>43</v>
      </c>
      <c r="L16" s="42">
        <f>Formeln!H18</f>
        <v>-0.49255551048406687</v>
      </c>
      <c r="M16" s="13" t="s">
        <v>101</v>
      </c>
      <c r="N16" s="34"/>
      <c r="O16" s="36"/>
      <c r="P16" s="36"/>
      <c r="Q16" s="36"/>
      <c r="R16" s="36"/>
    </row>
    <row r="17" spans="1:18" ht="18">
      <c r="A17" s="41" t="s">
        <v>118</v>
      </c>
      <c r="B17" s="42">
        <f>Formeln!B18</f>
        <v>8.7594314030167091</v>
      </c>
      <c r="C17" s="125" t="s">
        <v>100</v>
      </c>
      <c r="D17" s="27"/>
      <c r="E17" s="22"/>
      <c r="F17" s="28"/>
      <c r="G17" s="13" t="s">
        <v>95</v>
      </c>
      <c r="H17" s="42">
        <f>Formeln!N27</f>
        <v>256.12138270124058</v>
      </c>
      <c r="I17" s="13" t="s">
        <v>44</v>
      </c>
      <c r="J17" s="22"/>
      <c r="K17" s="17" t="s">
        <v>93</v>
      </c>
      <c r="L17" s="44"/>
      <c r="M17" s="17"/>
      <c r="N17" s="34"/>
      <c r="O17" s="36"/>
      <c r="P17" s="36"/>
      <c r="Q17" s="36"/>
      <c r="R17" s="36"/>
    </row>
    <row r="18" spans="1:18" ht="18">
      <c r="A18" s="20" t="s">
        <v>173</v>
      </c>
      <c r="B18" s="44"/>
      <c r="C18" s="21"/>
      <c r="D18" s="27"/>
      <c r="E18" s="22"/>
      <c r="F18" s="28"/>
      <c r="G18" s="17" t="s">
        <v>91</v>
      </c>
      <c r="H18" s="44"/>
      <c r="I18" s="17"/>
      <c r="J18" s="17"/>
      <c r="K18" s="13" t="s">
        <v>97</v>
      </c>
      <c r="L18" s="42">
        <f>L21</f>
        <v>0.17416305357167575</v>
      </c>
      <c r="M18" s="13" t="s">
        <v>48</v>
      </c>
      <c r="N18" s="34"/>
      <c r="O18" s="36"/>
      <c r="P18" s="36"/>
      <c r="Q18" s="36"/>
      <c r="R18" s="36"/>
    </row>
    <row r="19" spans="1:18" ht="18">
      <c r="A19" s="39" t="s">
        <v>119</v>
      </c>
      <c r="B19" s="42">
        <f>Formeln!B19</f>
        <v>0.14723813085075146</v>
      </c>
      <c r="C19" s="125" t="s">
        <v>116</v>
      </c>
      <c r="D19" s="27"/>
      <c r="E19" s="22"/>
      <c r="F19" s="28"/>
      <c r="G19" s="13" t="s">
        <v>96</v>
      </c>
      <c r="H19" s="42">
        <f>Formeln!N28</f>
        <v>48.797677251767524</v>
      </c>
      <c r="I19" s="13" t="s">
        <v>99</v>
      </c>
      <c r="J19" s="22"/>
      <c r="K19" s="13" t="s">
        <v>77</v>
      </c>
      <c r="L19" s="42">
        <f>(Formeln!K23/1000)</f>
        <v>4.6414453776851587</v>
      </c>
      <c r="M19" s="13" t="s">
        <v>102</v>
      </c>
      <c r="N19" s="34"/>
      <c r="O19" s="36"/>
      <c r="P19" s="36"/>
      <c r="Q19" s="36"/>
      <c r="R19" s="36"/>
    </row>
    <row r="20" spans="1:18">
      <c r="A20" s="20" t="s">
        <v>174</v>
      </c>
      <c r="B20" s="44"/>
      <c r="C20" s="21"/>
      <c r="D20" s="27"/>
      <c r="E20" s="22"/>
      <c r="F20" s="28"/>
      <c r="G20" s="17" t="s">
        <v>89</v>
      </c>
      <c r="H20" s="44"/>
      <c r="I20" s="17"/>
      <c r="J20" s="17"/>
      <c r="K20" s="17" t="s">
        <v>94</v>
      </c>
      <c r="L20" s="44"/>
      <c r="M20" s="17"/>
      <c r="N20" s="34"/>
      <c r="O20" s="36"/>
      <c r="P20" s="36"/>
      <c r="Q20" s="36"/>
      <c r="R20" s="36"/>
    </row>
    <row r="21" spans="1:18" ht="18">
      <c r="A21" s="39" t="s">
        <v>120</v>
      </c>
      <c r="B21" s="42">
        <f>Formeln!B20</f>
        <v>0.13987622430821389</v>
      </c>
      <c r="C21" s="125" t="s">
        <v>116</v>
      </c>
      <c r="D21" s="27"/>
      <c r="E21" s="22"/>
      <c r="F21" s="28"/>
      <c r="G21" s="14" t="s">
        <v>69</v>
      </c>
      <c r="H21" s="42">
        <f>Formeln!N24</f>
        <v>19.938904911187834</v>
      </c>
      <c r="I21" s="13" t="s">
        <v>24</v>
      </c>
      <c r="J21" s="22"/>
      <c r="K21" s="13" t="s">
        <v>98</v>
      </c>
      <c r="L21" s="42">
        <f>((L22/((D5*10^3)))*100)</f>
        <v>0.17416305357167575</v>
      </c>
      <c r="M21" s="13" t="s">
        <v>48</v>
      </c>
      <c r="N21" s="34"/>
      <c r="O21" s="36"/>
      <c r="P21" s="36"/>
      <c r="Q21" s="36"/>
      <c r="R21" s="36"/>
    </row>
    <row r="22" spans="1:18" ht="18">
      <c r="A22" s="20" t="s">
        <v>175</v>
      </c>
      <c r="B22" s="44"/>
      <c r="C22" s="21"/>
      <c r="D22" s="27"/>
      <c r="E22" s="22"/>
      <c r="F22" s="28"/>
      <c r="G22" s="22"/>
      <c r="H22" s="22"/>
      <c r="I22" s="22"/>
      <c r="J22" s="22"/>
      <c r="K22" s="13" t="s">
        <v>66</v>
      </c>
      <c r="L22" s="42">
        <f>((Formeln!K23*D8)/1000)</f>
        <v>92.828907553703175</v>
      </c>
      <c r="M22" s="13" t="s">
        <v>103</v>
      </c>
      <c r="N22" s="34"/>
      <c r="O22" s="36"/>
      <c r="P22" s="36"/>
      <c r="Q22" s="36"/>
      <c r="R22" s="36"/>
    </row>
    <row r="23" spans="1:18" ht="18">
      <c r="A23" s="39" t="s">
        <v>121</v>
      </c>
      <c r="B23" s="42">
        <f>Formeln!B21</f>
        <v>4.5975091622543235E-2</v>
      </c>
      <c r="C23" s="125" t="s">
        <v>116</v>
      </c>
      <c r="D23" s="27"/>
      <c r="E23" s="22"/>
      <c r="F23" s="28"/>
      <c r="G23" s="22"/>
      <c r="H23" s="22"/>
      <c r="I23" s="22"/>
      <c r="J23" s="22"/>
      <c r="K23" s="36"/>
      <c r="L23" s="36"/>
      <c r="M23" s="36"/>
      <c r="N23" s="34"/>
      <c r="O23" s="36"/>
      <c r="P23" s="36"/>
      <c r="Q23" s="36"/>
      <c r="R23" s="36"/>
    </row>
    <row r="24" spans="1:18">
      <c r="A24" s="17" t="s">
        <v>188</v>
      </c>
      <c r="B24" s="44"/>
      <c r="C24" s="17"/>
      <c r="D24" s="27"/>
      <c r="E24" s="22"/>
      <c r="F24" s="28"/>
      <c r="G24" s="84" t="s">
        <v>169</v>
      </c>
      <c r="H24" s="85"/>
      <c r="I24" s="85"/>
      <c r="J24" s="85"/>
      <c r="K24" s="85"/>
      <c r="L24" s="85"/>
      <c r="M24" s="86"/>
      <c r="N24" s="34"/>
      <c r="O24" s="36"/>
      <c r="P24" s="36"/>
      <c r="Q24" s="36"/>
      <c r="R24" s="36"/>
    </row>
    <row r="25" spans="1:18" ht="18">
      <c r="A25" s="14" t="s">
        <v>177</v>
      </c>
      <c r="B25" s="42">
        <f>Formeln!E16</f>
        <v>3.531467362164022</v>
      </c>
      <c r="C25" s="13" t="s">
        <v>45</v>
      </c>
      <c r="D25" s="27"/>
      <c r="E25" s="22"/>
      <c r="F25" s="28"/>
      <c r="G25" s="17" t="s">
        <v>141</v>
      </c>
      <c r="H25" s="44"/>
      <c r="I25" s="16"/>
      <c r="J25" s="36"/>
      <c r="K25" s="22"/>
      <c r="L25" s="115"/>
      <c r="M25" s="22"/>
      <c r="N25" s="34"/>
      <c r="O25" s="36"/>
      <c r="P25" s="36"/>
      <c r="Q25" s="36"/>
      <c r="R25" s="36"/>
    </row>
    <row r="26" spans="1:18" ht="18">
      <c r="A26" s="17" t="s">
        <v>189</v>
      </c>
      <c r="B26" s="44"/>
      <c r="C26" s="17"/>
      <c r="D26" s="27"/>
      <c r="E26" s="22"/>
      <c r="F26" s="28"/>
      <c r="G26" s="13" t="s">
        <v>139</v>
      </c>
      <c r="H26" s="42">
        <f>((H27/((Formeln!B22*10^3)))*100)</f>
        <v>0.16838664477790774</v>
      </c>
      <c r="I26" s="13" t="s">
        <v>48</v>
      </c>
      <c r="J26" s="36"/>
      <c r="K26" s="164"/>
      <c r="L26" s="161"/>
      <c r="M26" s="94"/>
      <c r="N26" s="34"/>
      <c r="O26" s="36"/>
      <c r="P26" s="36"/>
      <c r="Q26" s="36"/>
      <c r="R26" s="36"/>
    </row>
    <row r="27" spans="1:18" ht="18">
      <c r="A27" s="14" t="s">
        <v>190</v>
      </c>
      <c r="B27" s="162">
        <f>(B25*D8)*0.5</f>
        <v>35.314673621640218</v>
      </c>
      <c r="C27" s="13" t="s">
        <v>44</v>
      </c>
      <c r="D27" s="27"/>
      <c r="E27" s="22"/>
      <c r="F27" s="28"/>
      <c r="G27" s="13" t="s">
        <v>140</v>
      </c>
      <c r="H27" s="42">
        <f>(Formeln!K40*D8)/1000</f>
        <v>23.933355111099949</v>
      </c>
      <c r="I27" s="13" t="s">
        <v>103</v>
      </c>
      <c r="J27" s="36"/>
      <c r="K27" s="22"/>
      <c r="L27" s="115"/>
      <c r="M27" s="22"/>
      <c r="N27" s="34"/>
      <c r="O27" s="36"/>
      <c r="P27" s="36"/>
      <c r="Q27" s="36"/>
      <c r="R27" s="36"/>
    </row>
    <row r="28" spans="1:18">
      <c r="A28" s="36"/>
      <c r="B28" s="36"/>
      <c r="C28" s="36"/>
      <c r="D28" s="27"/>
      <c r="E28" s="22"/>
      <c r="F28" s="28"/>
      <c r="G28" s="17" t="s">
        <v>142</v>
      </c>
      <c r="H28" s="17"/>
      <c r="I28" s="17"/>
      <c r="J28" s="36"/>
      <c r="K28" s="164"/>
      <c r="L28" s="115"/>
      <c r="M28" s="94"/>
      <c r="N28" s="34"/>
      <c r="O28" s="36"/>
      <c r="P28" s="36"/>
      <c r="Q28" s="161"/>
      <c r="R28" s="36"/>
    </row>
    <row r="29" spans="1:18" ht="18">
      <c r="A29" s="36"/>
      <c r="B29" s="36"/>
      <c r="C29" s="36"/>
      <c r="D29" s="27"/>
      <c r="E29" s="22"/>
      <c r="F29" s="28"/>
      <c r="G29" s="14" t="s">
        <v>46</v>
      </c>
      <c r="H29" s="42">
        <f>Formeln!H36</f>
        <v>0.11913274582256732</v>
      </c>
      <c r="I29" s="13" t="s">
        <v>48</v>
      </c>
      <c r="J29" s="22"/>
      <c r="K29" s="22"/>
      <c r="L29" s="115"/>
      <c r="M29" s="22"/>
      <c r="N29" s="34"/>
      <c r="O29" s="36"/>
      <c r="P29" s="36"/>
      <c r="Q29" s="36"/>
      <c r="R29" s="36"/>
    </row>
    <row r="30" spans="1:18">
      <c r="A30" s="22"/>
      <c r="B30" s="115"/>
      <c r="C30" s="22"/>
      <c r="D30" s="27"/>
      <c r="E30" s="22"/>
      <c r="F30" s="28"/>
      <c r="G30" s="14" t="s">
        <v>43</v>
      </c>
      <c r="H30" s="42">
        <f>Formeln!H35</f>
        <v>0.13104602040482405</v>
      </c>
      <c r="I30" s="13" t="s">
        <v>101</v>
      </c>
      <c r="J30" s="22"/>
      <c r="K30" s="164"/>
      <c r="L30" s="168"/>
      <c r="M30" s="64"/>
      <c r="N30" s="34"/>
      <c r="O30" s="36"/>
      <c r="P30" s="36"/>
      <c r="Q30" s="36"/>
      <c r="R30" s="36"/>
    </row>
    <row r="31" spans="1:18" ht="15.75" thickBot="1">
      <c r="A31" s="165"/>
      <c r="B31" s="166"/>
      <c r="C31" s="167"/>
      <c r="D31" s="29"/>
      <c r="E31" s="23"/>
      <c r="F31" s="30"/>
      <c r="G31" s="23"/>
      <c r="H31" s="23"/>
      <c r="I31" s="23"/>
      <c r="J31" s="23"/>
      <c r="K31" s="23"/>
      <c r="L31" s="23"/>
      <c r="M31" s="38"/>
      <c r="N31" s="34"/>
      <c r="O31" s="36"/>
      <c r="P31" s="36"/>
      <c r="Q31" s="36"/>
      <c r="R31" s="36"/>
    </row>
    <row r="32" spans="1:18" ht="15.75" thickTop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</row>
    <row r="33" spans="1:18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</row>
    <row r="34" spans="1:18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</row>
    <row r="35" spans="1:18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</row>
    <row r="36" spans="1:18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</row>
    <row r="39" spans="1:18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</row>
    <row r="40" spans="1:18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</row>
    <row r="41" spans="1:18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18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</row>
    <row r="43" spans="1:18">
      <c r="A43" s="101">
        <v>110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</row>
    <row r="44" spans="1:18">
      <c r="A44" s="101">
        <v>30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</row>
    <row r="45" spans="1:18">
      <c r="A45" s="101">
        <v>300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</row>
    <row r="46" spans="1:18">
      <c r="A46" s="101">
        <v>400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</row>
    <row r="47" spans="1:18">
      <c r="A47" s="101">
        <v>500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18">
      <c r="A48" s="101">
        <v>630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</row>
    <row r="49" spans="1:18">
      <c r="A49" s="101">
        <v>800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</row>
    <row r="50" spans="1:18">
      <c r="A50" s="101">
        <v>1000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</row>
    <row r="51" spans="1:18">
      <c r="A51" s="101">
        <v>1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</row>
    <row r="52" spans="1:18">
      <c r="A52" s="101">
        <v>2.5</v>
      </c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</row>
    <row r="53" spans="1:18">
      <c r="A53" s="101">
        <v>0.7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</row>
    <row r="54" spans="1:18">
      <c r="A54" s="101">
        <v>0.8</v>
      </c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</row>
    <row r="55" spans="1:18">
      <c r="A55" s="101">
        <v>0.9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</row>
    <row r="56" spans="1:18">
      <c r="A56" s="101">
        <v>1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</row>
    <row r="57" spans="1:18">
      <c r="A57" s="101">
        <v>1.1000000000000001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</row>
    <row r="58" spans="1:18">
      <c r="A58" s="101">
        <v>1.2</v>
      </c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</row>
    <row r="59" spans="1:18">
      <c r="A59" s="101">
        <v>70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</row>
    <row r="60" spans="1:18">
      <c r="A60" s="101">
        <v>80</v>
      </c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</row>
    <row r="61" spans="1:18">
      <c r="A61" s="101">
        <v>90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</row>
    <row r="62" spans="1:18">
      <c r="A62" s="101">
        <v>100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</row>
    <row r="63" spans="1:18">
      <c r="A63" s="101">
        <v>110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</row>
    <row r="64" spans="1:18">
      <c r="A64" s="101">
        <v>1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</row>
    <row r="65" spans="1:18">
      <c r="A65" s="101">
        <v>2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</row>
    <row r="66" spans="1:18">
      <c r="A66" s="101">
        <v>3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1:18">
      <c r="A67" s="101">
        <v>4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</row>
    <row r="68" spans="1:18">
      <c r="A68" s="101">
        <v>5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</row>
    <row r="69" spans="1:18">
      <c r="A69" s="101">
        <v>6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</row>
    <row r="70" spans="1:18">
      <c r="A70" s="101">
        <v>7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</row>
    <row r="71" spans="1:18">
      <c r="A71" s="101">
        <v>8</v>
      </c>
    </row>
  </sheetData>
  <sheetProtection password="EE37" sheet="1" objects="1" scenarios="1"/>
  <conditionalFormatting sqref="B25 H21 L28">
    <cfRule type="cellIs" dxfId="0" priority="6" operator="greaterThan">
      <formula>50</formula>
    </cfRule>
  </conditionalFormatting>
  <dataValidations count="6">
    <dataValidation type="list" operator="equal" showInputMessage="1" showErrorMessage="1" sqref="D6">
      <formula1>$A$43:$A$44</formula1>
    </dataValidation>
    <dataValidation type="list" showInputMessage="1" showErrorMessage="1" sqref="D9">
      <formula1>$A$45:$A$50</formula1>
    </dataValidation>
    <dataValidation type="list" showInputMessage="1" showErrorMessage="1" sqref="G7">
      <formula1>$A$51:$A$52</formula1>
    </dataValidation>
    <dataValidation type="list" showInputMessage="1" showErrorMessage="1" sqref="G5">
      <formula1>$A$53:$A$58</formula1>
    </dataValidation>
    <dataValidation type="list" showInputMessage="1" showErrorMessage="1" sqref="G9">
      <formula1>$A$59:$A$63</formula1>
    </dataValidation>
    <dataValidation type="list" showInputMessage="1" showErrorMessage="1" sqref="D10">
      <formula1>$A$64:$A$69</formula1>
    </dataValidation>
  </dataValidations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50"/>
  <sheetViews>
    <sheetView topLeftCell="A7" workbookViewId="0">
      <selection activeCell="B22" sqref="B22"/>
    </sheetView>
  </sheetViews>
  <sheetFormatPr baseColWidth="10" defaultRowHeight="15"/>
  <cols>
    <col min="1" max="1" width="9.140625" customWidth="1"/>
    <col min="2" max="2" width="13.85546875" customWidth="1"/>
    <col min="3" max="3" width="11.28515625" customWidth="1"/>
    <col min="4" max="4" width="10.28515625" customWidth="1"/>
    <col min="5" max="5" width="14.5703125" customWidth="1"/>
    <col min="6" max="6" width="11.5703125" customWidth="1"/>
    <col min="7" max="7" width="13.42578125" customWidth="1"/>
    <col min="9" max="9" width="7.85546875" customWidth="1"/>
    <col min="10" max="10" width="15.5703125" customWidth="1"/>
    <col min="11" max="11" width="14.5703125" bestFit="1" customWidth="1"/>
    <col min="12" max="12" width="10" customWidth="1"/>
    <col min="13" max="13" width="14.5703125" customWidth="1"/>
    <col min="15" max="15" width="9.7109375" customWidth="1"/>
  </cols>
  <sheetData>
    <row r="1" spans="1:26" ht="15.75" thickBot="1">
      <c r="A1" s="68" t="s">
        <v>29</v>
      </c>
      <c r="B1" s="69"/>
      <c r="C1" s="69"/>
      <c r="D1" s="69"/>
      <c r="E1" s="69"/>
      <c r="F1" s="70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8">
      <c r="A2" s="3" t="s">
        <v>27</v>
      </c>
      <c r="B2" s="1">
        <f>4*PI()*(10^-7)</f>
        <v>1.2566370614359173E-6</v>
      </c>
      <c r="C2" s="1"/>
      <c r="D2" s="1" t="s">
        <v>32</v>
      </c>
      <c r="E2" s="135">
        <f>SIN(ACOS(Eingaben!D7))</f>
        <v>0.31224989991992003</v>
      </c>
      <c r="F2" s="2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8">
      <c r="A3" s="3" t="s">
        <v>57</v>
      </c>
      <c r="B3" s="1">
        <f>1+(Formeln!B11)</f>
        <v>1.000022</v>
      </c>
      <c r="C3" s="1"/>
      <c r="D3" s="1" t="s">
        <v>20</v>
      </c>
      <c r="E3" s="135">
        <v>50</v>
      </c>
      <c r="F3" s="2" t="s">
        <v>21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8">
      <c r="A4" s="3" t="s">
        <v>35</v>
      </c>
      <c r="B4" s="62">
        <f>SQRT((Eingaben!D9)/PI())</f>
        <v>14.161046158239445</v>
      </c>
      <c r="C4" s="1" t="s">
        <v>2</v>
      </c>
      <c r="D4" s="1" t="s">
        <v>30</v>
      </c>
      <c r="E4" s="135">
        <f>(2*PI()*(E3)*((Eingaben!J7)*10^-3))</f>
        <v>0.11938052083641215</v>
      </c>
      <c r="F4" s="5" t="s">
        <v>5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8">
      <c r="A5" s="3" t="s">
        <v>33</v>
      </c>
      <c r="B5" s="62">
        <f>2*PI()*B4</f>
        <v>88.976477155742003</v>
      </c>
      <c r="C5" s="1" t="s">
        <v>2</v>
      </c>
      <c r="D5" s="1" t="s">
        <v>31</v>
      </c>
      <c r="E5" s="135">
        <f>1/((2*PI()*(E3)*((Eingaben!J8)*10^-6)))</f>
        <v>17983.609388914731</v>
      </c>
      <c r="F5" s="5" t="s">
        <v>5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8">
      <c r="A6" s="3" t="s">
        <v>34</v>
      </c>
      <c r="B6" s="62">
        <f>(Eingaben!J9)/2</f>
        <v>40.5</v>
      </c>
      <c r="C6" s="1" t="s">
        <v>2</v>
      </c>
      <c r="D6" s="1" t="s">
        <v>36</v>
      </c>
      <c r="E6" s="135">
        <f>(Eingaben!D6/(SQRT(3)))</f>
        <v>63.508529610858837</v>
      </c>
      <c r="F6" s="2" t="s">
        <v>101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8">
      <c r="A7" s="3" t="s">
        <v>47</v>
      </c>
      <c r="B7" s="62">
        <f>2*PI()*E3</f>
        <v>314.15926535897933</v>
      </c>
      <c r="C7" s="1" t="s">
        <v>21</v>
      </c>
      <c r="D7" s="67" t="s">
        <v>12</v>
      </c>
      <c r="E7" s="136">
        <v>5.7299999999999997E-2</v>
      </c>
      <c r="F7" s="2" t="s">
        <v>13</v>
      </c>
      <c r="G7" s="36"/>
      <c r="H7" s="36"/>
      <c r="I7" s="36"/>
      <c r="J7" s="36"/>
      <c r="K7" s="36"/>
      <c r="L7" s="36"/>
      <c r="M7" s="36"/>
      <c r="N7" s="161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8">
      <c r="A8" s="3" t="s">
        <v>17</v>
      </c>
      <c r="B8" s="1">
        <v>2.8199999999999999E-2</v>
      </c>
      <c r="C8" s="1" t="s">
        <v>23</v>
      </c>
      <c r="D8" s="67" t="s">
        <v>37</v>
      </c>
      <c r="E8" s="135">
        <f>((Formeln!E7)*(1+((Formeln!B9)*(Eingaben!G9))))</f>
        <v>7.7927999999999983E-2</v>
      </c>
      <c r="F8" s="2" t="s">
        <v>13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8">
      <c r="A9" s="3" t="s">
        <v>18</v>
      </c>
      <c r="B9" s="1">
        <v>4.0000000000000001E-3</v>
      </c>
      <c r="C9" s="1" t="s">
        <v>19</v>
      </c>
      <c r="D9" s="1"/>
      <c r="E9" s="1"/>
      <c r="F9" s="2"/>
      <c r="G9" s="36"/>
      <c r="H9" s="16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8">
      <c r="A10" s="3" t="s">
        <v>27</v>
      </c>
      <c r="B10" s="1">
        <f>Formeln!B2</f>
        <v>1.2566370614359173E-6</v>
      </c>
      <c r="C10" s="1" t="s">
        <v>28</v>
      </c>
      <c r="D10" s="1"/>
      <c r="E10" s="1"/>
      <c r="F10" s="2"/>
      <c r="G10" s="36"/>
      <c r="H10" s="161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8.75" thickBot="1">
      <c r="A11" s="98" t="s">
        <v>57</v>
      </c>
      <c r="B11" s="99">
        <v>2.1999999999999999E-5</v>
      </c>
      <c r="C11" s="99"/>
      <c r="D11" s="99"/>
      <c r="E11" s="99"/>
      <c r="F11" s="100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5.75" thickBot="1">
      <c r="A14" s="87" t="s">
        <v>143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5.75" thickBot="1">
      <c r="A15" s="6" t="s">
        <v>38</v>
      </c>
      <c r="B15" s="7" t="s">
        <v>75</v>
      </c>
      <c r="C15" s="8" t="s">
        <v>76</v>
      </c>
      <c r="D15" s="7" t="s">
        <v>39</v>
      </c>
      <c r="E15" s="7" t="s">
        <v>75</v>
      </c>
      <c r="F15" s="8" t="s">
        <v>76</v>
      </c>
      <c r="G15" s="7" t="s">
        <v>40</v>
      </c>
      <c r="H15" s="7" t="s">
        <v>75</v>
      </c>
      <c r="I15" s="8" t="s">
        <v>76</v>
      </c>
      <c r="J15" s="7" t="s">
        <v>41</v>
      </c>
      <c r="K15" s="7" t="s">
        <v>75</v>
      </c>
      <c r="L15" s="8" t="s">
        <v>76</v>
      </c>
      <c r="M15" s="7" t="s">
        <v>42</v>
      </c>
      <c r="N15" s="7" t="s">
        <v>75</v>
      </c>
      <c r="O15" s="8" t="s">
        <v>76</v>
      </c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8">
      <c r="A16" s="9" t="s">
        <v>117</v>
      </c>
      <c r="B16" s="74">
        <f>((Eingaben!D5))/(Eingaben!D7)</f>
        <v>56.10526315789474</v>
      </c>
      <c r="C16" s="73" t="s">
        <v>99</v>
      </c>
      <c r="D16" s="10" t="s">
        <v>87</v>
      </c>
      <c r="E16" s="74">
        <f>K20</f>
        <v>3.531467362164022</v>
      </c>
      <c r="F16" s="73" t="s">
        <v>45</v>
      </c>
      <c r="G16" s="12" t="s">
        <v>134</v>
      </c>
      <c r="H16" s="61">
        <f>SQRT(3)*B19*Eingaben!D8*((Eingaben!J5*Eingaben!D7)+(E4*E2))</f>
        <v>0.49151554238599249</v>
      </c>
      <c r="I16" s="15" t="s">
        <v>101</v>
      </c>
      <c r="J16" s="12" t="s">
        <v>55</v>
      </c>
      <c r="K16" s="80">
        <f>SQRT((1/(4*(Eingaben!J6*Eingaben!D8))*(E3)*(Formeln!B10)*(B3)))</f>
        <v>4.0922607338482507E-3</v>
      </c>
      <c r="L16" s="15"/>
      <c r="M16" s="13" t="s">
        <v>62</v>
      </c>
      <c r="N16" s="61">
        <f>((Eingaben!G7)/(2*PI()))*LN((2*Eingaben!G5)/Eingaben!G6)</f>
        <v>0.58710339959236546</v>
      </c>
      <c r="O16" s="15" t="s">
        <v>22</v>
      </c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8">
      <c r="A17" s="9" t="s">
        <v>129</v>
      </c>
      <c r="B17" s="74">
        <f>B16/Eingaben!D10</f>
        <v>28.05263157894737</v>
      </c>
      <c r="C17" s="73" t="s">
        <v>99</v>
      </c>
      <c r="D17" s="10" t="s">
        <v>86</v>
      </c>
      <c r="E17" s="74">
        <f>((Eingaben!D6)^2)*B7*((Eingaben!J8)*10^-6)</f>
        <v>0.67283489861932599</v>
      </c>
      <c r="F17" s="73" t="s">
        <v>176</v>
      </c>
      <c r="G17" s="12" t="s">
        <v>135</v>
      </c>
      <c r="H17" s="61">
        <f>((SQRT(3)*Eingaben!D8*B19*E4*Eingaben!D7)-(SQRT(3)*Eingaben!D8*B19*Eingaben!J5*E2))</f>
        <v>0.47939168127686271</v>
      </c>
      <c r="I17" s="15" t="s">
        <v>101</v>
      </c>
      <c r="J17" s="10" t="s">
        <v>56</v>
      </c>
      <c r="K17" s="81">
        <f>1+((1/3)*((K16)^4))</f>
        <v>1.0000000000934828</v>
      </c>
      <c r="L17" s="15"/>
      <c r="M17" s="13" t="s">
        <v>61</v>
      </c>
      <c r="N17" s="61">
        <f>((Eingaben!G7)/(2*PI())*LN(SQRT((Eingaben!G5/Eingaben!G6)^2+1)))</f>
        <v>0.47698429492899641</v>
      </c>
      <c r="O17" s="15" t="s">
        <v>22</v>
      </c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8">
      <c r="A18" s="9" t="s">
        <v>130</v>
      </c>
      <c r="B18" s="74">
        <f>SQRT(((B17)^2)-((Eingaben!D5)/Eingaben!D10)^2)</f>
        <v>8.7594314030167091</v>
      </c>
      <c r="C18" s="73" t="s">
        <v>115</v>
      </c>
      <c r="D18" s="10" t="s">
        <v>85</v>
      </c>
      <c r="E18" s="76" t="str">
        <f>COMPLEX(Eingaben!J5,(E4),"i")</f>
        <v>0,0622+0,119380520836412i</v>
      </c>
      <c r="F18" s="73" t="s">
        <v>51</v>
      </c>
      <c r="G18" s="10" t="s">
        <v>43</v>
      </c>
      <c r="H18" s="61">
        <f>Eingaben!D6-(SQRT(((Eingaben!D6+H16)^2)+((H17)^2)))</f>
        <v>-0.49255551048406687</v>
      </c>
      <c r="I18" s="15" t="s">
        <v>101</v>
      </c>
      <c r="J18" s="10" t="s">
        <v>83</v>
      </c>
      <c r="K18" s="81">
        <f>(K17*(Formeln!B8/Eingaben!D9)*(1+Formeln!B9*(Eingaben!G9-20)))*1000</f>
        <v>5.7295238100594212E-2</v>
      </c>
      <c r="L18" s="15" t="s">
        <v>82</v>
      </c>
      <c r="M18" s="13" t="s">
        <v>60</v>
      </c>
      <c r="N18" s="61">
        <f>N16+N17</f>
        <v>1.064087694521362</v>
      </c>
      <c r="O18" s="15" t="s">
        <v>22</v>
      </c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8">
      <c r="A19" s="9" t="s">
        <v>131</v>
      </c>
      <c r="B19" s="74">
        <f>(B17/(SQRT(3)*((Eingaben!D6))))</f>
        <v>0.14723813085075146</v>
      </c>
      <c r="C19" s="73" t="s">
        <v>116</v>
      </c>
      <c r="D19" s="10" t="s">
        <v>84</v>
      </c>
      <c r="E19" s="75" t="str">
        <f>COMPLEX(0,(1/E5),"i")</f>
        <v>0,0000556061899685393i</v>
      </c>
      <c r="F19" s="73" t="s">
        <v>52</v>
      </c>
      <c r="G19" s="12" t="s">
        <v>46</v>
      </c>
      <c r="H19" s="61">
        <f>(H18/Eingaben!D6)*100</f>
        <v>-0.44777773680369715</v>
      </c>
      <c r="I19" s="15" t="s">
        <v>48</v>
      </c>
      <c r="J19" s="10" t="s">
        <v>81</v>
      </c>
      <c r="K19" s="81">
        <f>3*K18*((B19*1000)^2)</f>
        <v>3726.3219470157992</v>
      </c>
      <c r="L19" s="15" t="s">
        <v>58</v>
      </c>
      <c r="M19" s="13" t="s">
        <v>63</v>
      </c>
      <c r="N19" s="61">
        <f>((Eingaben!G8)/(2*PI()))*LN(B6/B4)</f>
        <v>0.58534395309062237</v>
      </c>
      <c r="O19" s="15" t="s">
        <v>22</v>
      </c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8">
      <c r="A20" s="9" t="s">
        <v>132</v>
      </c>
      <c r="B20" s="74">
        <f>(B19)*Eingaben!D7</f>
        <v>0.13987622430821389</v>
      </c>
      <c r="C20" s="73" t="s">
        <v>116</v>
      </c>
      <c r="D20" s="10" t="s">
        <v>49</v>
      </c>
      <c r="E20" s="74">
        <f>SQRT(IMABS(IMDIV(E18,E19)))</f>
        <v>49.201831218140953</v>
      </c>
      <c r="F20" s="73" t="s">
        <v>50</v>
      </c>
      <c r="G20" s="10"/>
      <c r="H20" s="4"/>
      <c r="I20" s="15"/>
      <c r="J20" s="10" t="s">
        <v>80</v>
      </c>
      <c r="K20" s="81">
        <f>(E6*B7*((Eingaben!J8)*10^-6)*1000)</f>
        <v>3.531467362164022</v>
      </c>
      <c r="L20" s="15" t="s">
        <v>45</v>
      </c>
      <c r="M20" s="13" t="s">
        <v>64</v>
      </c>
      <c r="N20" s="61">
        <f>N19+N18</f>
        <v>1.6494316476119844</v>
      </c>
      <c r="O20" s="15" t="s">
        <v>22</v>
      </c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8">
      <c r="A21" s="9" t="s">
        <v>133</v>
      </c>
      <c r="B21" s="74">
        <f>B19*E2</f>
        <v>4.5975091622543235E-2</v>
      </c>
      <c r="C21" s="73" t="s">
        <v>116</v>
      </c>
      <c r="D21" s="10" t="s">
        <v>53</v>
      </c>
      <c r="E21" s="74">
        <f>((Eingaben!D6))/E20</f>
        <v>2.2356891456398165</v>
      </c>
      <c r="F21" s="73" t="s">
        <v>116</v>
      </c>
      <c r="G21" s="10"/>
      <c r="H21" s="4"/>
      <c r="I21" s="15"/>
      <c r="J21" s="10" t="s">
        <v>79</v>
      </c>
      <c r="K21" s="81">
        <f>(E6*K20)</f>
        <v>224.27829953977533</v>
      </c>
      <c r="L21" s="15" t="s">
        <v>126</v>
      </c>
      <c r="M21" s="13" t="s">
        <v>59</v>
      </c>
      <c r="N21" s="61">
        <f>(1/(N20*B5))*1000</f>
        <v>6.8138170737076376</v>
      </c>
      <c r="O21" s="15" t="s">
        <v>65</v>
      </c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8">
      <c r="A22" s="9" t="s">
        <v>136</v>
      </c>
      <c r="B22" s="13">
        <f>(Eingaben!D5/3)*0.8</f>
        <v>14.213333333333333</v>
      </c>
      <c r="C22" s="73" t="s">
        <v>114</v>
      </c>
      <c r="D22" s="10" t="s">
        <v>54</v>
      </c>
      <c r="E22" s="74">
        <f>(((Eingaben!D6)^2)/E20)</f>
        <v>245.92580602037981</v>
      </c>
      <c r="F22" s="73" t="s">
        <v>114</v>
      </c>
      <c r="G22" s="10"/>
      <c r="H22" s="4"/>
      <c r="I22" s="15"/>
      <c r="J22" s="10" t="s">
        <v>78</v>
      </c>
      <c r="K22" s="81">
        <f>((K21*1000)*TAN(RADIANS(E8)))*3</f>
        <v>915.12343066935932</v>
      </c>
      <c r="L22" s="15" t="s">
        <v>58</v>
      </c>
      <c r="M22" s="14" t="s">
        <v>67</v>
      </c>
      <c r="N22" s="61">
        <f>N18*(K23/1000)</f>
        <v>4.9389049111878327</v>
      </c>
      <c r="O22" s="15" t="s">
        <v>24</v>
      </c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8">
      <c r="A23" s="9" t="s">
        <v>145</v>
      </c>
      <c r="B23" s="83">
        <f>IF(Eingaben!E7="ind.",((ATAN((((B21*1000)-(0.5*E16*Eingaben!D8))/(B20*1000))))*(-1)),(ATAN((((B21*1000)-(0.5*E16*Eingaben!D8))/(B20*1000)))))</f>
        <v>-7.6066175657433593E-2</v>
      </c>
      <c r="C23" s="73" t="s">
        <v>146</v>
      </c>
      <c r="D23" s="72"/>
      <c r="E23" s="72"/>
      <c r="F23" s="72"/>
      <c r="G23" s="10"/>
      <c r="H23" s="4"/>
      <c r="I23" s="15"/>
      <c r="J23" s="10" t="s">
        <v>77</v>
      </c>
      <c r="K23" s="81">
        <f>K19+K22</f>
        <v>4641.4453776851587</v>
      </c>
      <c r="L23" s="15" t="s">
        <v>58</v>
      </c>
      <c r="M23" s="14" t="s">
        <v>68</v>
      </c>
      <c r="N23" s="61">
        <f>N22</f>
        <v>4.9389049111878327</v>
      </c>
      <c r="O23" s="15" t="s">
        <v>24</v>
      </c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8">
      <c r="A24" s="9" t="s">
        <v>144</v>
      </c>
      <c r="B24" s="95">
        <f>IF(Eingaben!E7="kap.",(COS(B23)-(COS(B23)-Eingaben!D7)),COS(B23))</f>
        <v>0.9971083631299954</v>
      </c>
      <c r="C24" s="15"/>
      <c r="D24" s="10" t="s">
        <v>151</v>
      </c>
      <c r="E24" s="74">
        <f>(Kabeldaten!B34/100)*Kabeldaten!B31</f>
        <v>1.6</v>
      </c>
      <c r="F24" s="73" t="s">
        <v>100</v>
      </c>
      <c r="G24" s="10"/>
      <c r="H24" s="4"/>
      <c r="I24" s="15"/>
      <c r="J24" s="10"/>
      <c r="K24" s="4"/>
      <c r="L24" s="15"/>
      <c r="M24" s="14" t="s">
        <v>69</v>
      </c>
      <c r="N24" s="61">
        <f>N23+(Eingaben!G10)</f>
        <v>19.938904911187834</v>
      </c>
      <c r="O24" s="15" t="s">
        <v>24</v>
      </c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8">
      <c r="A25" s="9"/>
      <c r="B25" s="61"/>
      <c r="C25" s="15"/>
      <c r="D25" s="10" t="s">
        <v>152</v>
      </c>
      <c r="E25" s="74">
        <f>IF((Kabeldaten!B31&lt;B16),((ROUNDUP((B16/Kabeldaten!B31),0))*E24),E24)</f>
        <v>3.2</v>
      </c>
      <c r="F25" s="73" t="s">
        <v>100</v>
      </c>
      <c r="G25" s="10"/>
      <c r="H25" s="4"/>
      <c r="I25" s="15"/>
      <c r="J25" s="10"/>
      <c r="K25" s="4"/>
      <c r="L25" s="15"/>
      <c r="M25" s="14" t="s">
        <v>70</v>
      </c>
      <c r="N25" s="61">
        <f>N23/(1+(Formeln!B9*N23))</f>
        <v>4.8432240196022471</v>
      </c>
      <c r="O25" s="15" t="s">
        <v>24</v>
      </c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8">
      <c r="A26" s="9"/>
      <c r="B26" s="61"/>
      <c r="C26" s="15"/>
      <c r="D26" s="10" t="s">
        <v>167</v>
      </c>
      <c r="E26" s="74">
        <f>IF((Kabeldaten!B31&lt;B16),((B16/((ROUNDUP((B16/Kabeldaten!B31),0))*Kabeldaten!B31))*100),((B16/Kabeldaten!B31)*100))</f>
        <v>70.131578947368425</v>
      </c>
      <c r="F26" s="73" t="s">
        <v>48</v>
      </c>
      <c r="G26" s="10"/>
      <c r="H26" s="4"/>
      <c r="I26" s="15"/>
      <c r="J26" s="10"/>
      <c r="K26" s="4"/>
      <c r="L26" s="15"/>
      <c r="M26" s="14" t="s">
        <v>88</v>
      </c>
      <c r="N26" s="61">
        <f>SQRT(N25*((N21*(B5/1000)/((Eingaben!D9)*(Formeln!B8)))))</f>
        <v>0.40654187730355651</v>
      </c>
      <c r="O26" s="15" t="s">
        <v>71</v>
      </c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8">
      <c r="A27" s="9"/>
      <c r="B27" s="61"/>
      <c r="C27" s="15"/>
      <c r="D27" s="10" t="s">
        <v>162</v>
      </c>
      <c r="E27" s="74">
        <f>((Kabeldaten!B33/100)*((Kabeldaten!B31*(E26/100)/Kabeldaten!B31)^2)*Kabeldaten!B31)*(ROUNDUP((B16/Kabeldaten!B31),0))</f>
        <v>6.2444493490304698</v>
      </c>
      <c r="F27" s="73" t="s">
        <v>100</v>
      </c>
      <c r="G27" s="10"/>
      <c r="H27" s="4"/>
      <c r="I27" s="15"/>
      <c r="J27" s="10"/>
      <c r="K27" s="4"/>
      <c r="L27" s="15"/>
      <c r="M27" s="13" t="s">
        <v>95</v>
      </c>
      <c r="N27" s="61">
        <f>((Eingaben!D9)*N26)</f>
        <v>256.12138270124058</v>
      </c>
      <c r="O27" s="15" t="s">
        <v>44</v>
      </c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8">
      <c r="A28" s="9"/>
      <c r="B28" s="61"/>
      <c r="C28" s="15"/>
      <c r="D28" s="10" t="s">
        <v>154</v>
      </c>
      <c r="E28" s="74">
        <f>E25+E27</f>
        <v>9.4444493490304708</v>
      </c>
      <c r="F28" s="73" t="s">
        <v>150</v>
      </c>
      <c r="G28" s="10"/>
      <c r="H28" s="4"/>
      <c r="I28" s="15"/>
      <c r="J28" s="10"/>
      <c r="K28" s="4"/>
      <c r="L28" s="15"/>
      <c r="M28" s="13" t="s">
        <v>96</v>
      </c>
      <c r="N28" s="61">
        <f>(SQRT(3)*N27*(Eingaben!D6))/1000</f>
        <v>48.797677251767524</v>
      </c>
      <c r="O28" s="15" t="s">
        <v>99</v>
      </c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8">
      <c r="A29" s="9"/>
      <c r="B29" s="61"/>
      <c r="C29" s="15"/>
      <c r="D29" s="10" t="s">
        <v>155</v>
      </c>
      <c r="E29" s="74">
        <f>$G$78</f>
        <v>10.256697972386519</v>
      </c>
      <c r="F29" s="73" t="s">
        <v>100</v>
      </c>
      <c r="G29" s="72"/>
      <c r="H29" s="72"/>
      <c r="I29" s="72"/>
      <c r="J29" s="137"/>
      <c r="K29" s="4"/>
      <c r="L29" s="138"/>
      <c r="M29" s="72"/>
      <c r="N29" s="72"/>
      <c r="O29" s="138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8.75" thickBot="1">
      <c r="A30" s="169"/>
      <c r="B30" s="170"/>
      <c r="C30" s="171"/>
      <c r="D30" s="11" t="s">
        <v>161</v>
      </c>
      <c r="E30" s="96">
        <f>$G$90</f>
        <v>-2.4393020276134774</v>
      </c>
      <c r="F30" s="97" t="s">
        <v>100</v>
      </c>
      <c r="G30" s="11"/>
      <c r="H30" s="173"/>
      <c r="I30" s="171"/>
      <c r="J30" s="11"/>
      <c r="K30" s="173"/>
      <c r="L30" s="171"/>
      <c r="M30" s="176"/>
      <c r="N30" s="173"/>
      <c r="O30" s="171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5.75" thickBot="1">
      <c r="A31" s="82" t="s">
        <v>138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5.75" thickBot="1">
      <c r="A32" s="6" t="s">
        <v>38</v>
      </c>
      <c r="B32" s="7" t="s">
        <v>75</v>
      </c>
      <c r="C32" s="8" t="s">
        <v>76</v>
      </c>
      <c r="D32" s="7" t="s">
        <v>39</v>
      </c>
      <c r="E32" s="7" t="s">
        <v>75</v>
      </c>
      <c r="F32" s="8" t="s">
        <v>76</v>
      </c>
      <c r="G32" s="7" t="s">
        <v>40</v>
      </c>
      <c r="H32" s="7" t="s">
        <v>75</v>
      </c>
      <c r="I32" s="8" t="s">
        <v>76</v>
      </c>
      <c r="J32" s="7" t="s">
        <v>41</v>
      </c>
      <c r="K32" s="7" t="s">
        <v>75</v>
      </c>
      <c r="L32" s="8" t="s">
        <v>76</v>
      </c>
      <c r="M32" s="7" t="s">
        <v>42</v>
      </c>
      <c r="N32" s="7" t="s">
        <v>75</v>
      </c>
      <c r="O32" s="8" t="s">
        <v>76</v>
      </c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8">
      <c r="A33" s="9" t="s">
        <v>117</v>
      </c>
      <c r="B33" s="83">
        <f>((B22))/(Eingaben!D7)</f>
        <v>14.96140350877193</v>
      </c>
      <c r="C33" s="73" t="s">
        <v>99</v>
      </c>
      <c r="D33" s="10" t="s">
        <v>87</v>
      </c>
      <c r="E33" s="74">
        <f>K37</f>
        <v>3.531467362164022</v>
      </c>
      <c r="F33" s="73" t="s">
        <v>45</v>
      </c>
      <c r="G33" s="12" t="s">
        <v>134</v>
      </c>
      <c r="H33" s="61">
        <f>SQRT(3)*B36*Eingaben!D8*((Eingaben!J5*Eingaben!D7)+(E4*E2))</f>
        <v>0.13107081130293133</v>
      </c>
      <c r="I33" s="15" t="s">
        <v>101</v>
      </c>
      <c r="J33" s="12" t="s">
        <v>55</v>
      </c>
      <c r="K33" s="80">
        <f>SQRT((1/(4*(Eingaben!J6*Eingaben!D8))*(E3)*(Formeln!B10)*(B3)))</f>
        <v>4.0922607338482507E-3</v>
      </c>
      <c r="L33" s="15"/>
      <c r="M33" s="13" t="s">
        <v>62</v>
      </c>
      <c r="N33" s="61">
        <f>((Eingaben!G7)/(2*PI()))*LN((2*Eingaben!G5)/Eingaben!G6)</f>
        <v>0.58710339959236546</v>
      </c>
      <c r="O33" s="15" t="s">
        <v>22</v>
      </c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8">
      <c r="A34" s="9" t="s">
        <v>129</v>
      </c>
      <c r="B34" s="83">
        <f>B33/Eingaben!D10</f>
        <v>7.4807017543859651</v>
      </c>
      <c r="C34" s="73" t="s">
        <v>99</v>
      </c>
      <c r="D34" s="10" t="s">
        <v>86</v>
      </c>
      <c r="E34" s="74">
        <f>((Eingaben!D6)^2)*B7*((Eingaben!J8)*10^-6)</f>
        <v>0.67283489861932599</v>
      </c>
      <c r="F34" s="73" t="s">
        <v>125</v>
      </c>
      <c r="G34" s="12" t="s">
        <v>135</v>
      </c>
      <c r="H34" s="61">
        <f>((Eingaben!D8*B36*E4*Eingaben!D7)-(Eingaben!D8*B36*Eingaben!J5*E2))</f>
        <v>7.3807177661990395E-2</v>
      </c>
      <c r="I34" s="15" t="s">
        <v>101</v>
      </c>
      <c r="J34" s="10" t="s">
        <v>56</v>
      </c>
      <c r="K34" s="81">
        <f>1+((1/3)*((K33)^4))</f>
        <v>1.0000000000934828</v>
      </c>
      <c r="L34" s="15"/>
      <c r="M34" s="13" t="s">
        <v>61</v>
      </c>
      <c r="N34" s="61">
        <f>((Eingaben!G7)/(2*PI())*LN(SQRT((Eingaben!G5/Eingaben!G6)^2+1)))</f>
        <v>0.47698429492899641</v>
      </c>
      <c r="O34" s="15" t="s">
        <v>22</v>
      </c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8">
      <c r="A35" s="9" t="s">
        <v>130</v>
      </c>
      <c r="B35" s="83">
        <f>SQRT(((B34)^2)-((B22/Eingaben!D10)^2))</f>
        <v>2.3358483741377882</v>
      </c>
      <c r="C35" s="73" t="s">
        <v>115</v>
      </c>
      <c r="D35" s="10" t="s">
        <v>85</v>
      </c>
      <c r="E35" s="76" t="str">
        <f>COMPLEX(Eingaben!J5,(E4),"i")</f>
        <v>0,0622+0,119380520836412i</v>
      </c>
      <c r="F35" s="73" t="s">
        <v>51</v>
      </c>
      <c r="G35" s="10" t="s">
        <v>43</v>
      </c>
      <c r="H35" s="61">
        <f>Eingaben!D6-(SQRT(((Eingaben!D6-H33)^2)+((H34)^2)))</f>
        <v>0.13104602040482405</v>
      </c>
      <c r="I35" s="15" t="s">
        <v>101</v>
      </c>
      <c r="J35" s="10" t="s">
        <v>83</v>
      </c>
      <c r="K35" s="81">
        <f>(K34*(Formeln!B8/Eingaben!D9)*(1+Formeln!B9*Eingaben!G9))*1000</f>
        <v>6.0876190481881337E-2</v>
      </c>
      <c r="L35" s="15" t="s">
        <v>82</v>
      </c>
      <c r="M35" s="13" t="s">
        <v>60</v>
      </c>
      <c r="N35" s="61">
        <f>N33+N34</f>
        <v>1.064087694521362</v>
      </c>
      <c r="O35" s="15" t="s">
        <v>22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8">
      <c r="A36" s="9" t="s">
        <v>131</v>
      </c>
      <c r="B36" s="83">
        <f>(B34/(SQRT(3)*((Eingaben!D6))))</f>
        <v>3.9263501560200392E-2</v>
      </c>
      <c r="C36" s="73" t="s">
        <v>116</v>
      </c>
      <c r="D36" s="10" t="s">
        <v>84</v>
      </c>
      <c r="E36" s="75" t="str">
        <f>COMPLEX(0,(1/E5),"i")</f>
        <v>0,0000556061899685393i</v>
      </c>
      <c r="F36" s="73" t="s">
        <v>52</v>
      </c>
      <c r="G36" s="12" t="s">
        <v>46</v>
      </c>
      <c r="H36" s="61">
        <f>(H35/Eingaben!D6)*100</f>
        <v>0.11913274582256732</v>
      </c>
      <c r="I36" s="15" t="s">
        <v>48</v>
      </c>
      <c r="J36" s="10" t="s">
        <v>81</v>
      </c>
      <c r="K36" s="81">
        <f>3*K35*((B36*1000)^2)</f>
        <v>281.5443248856381</v>
      </c>
      <c r="L36" s="15" t="s">
        <v>58</v>
      </c>
      <c r="M36" s="13" t="s">
        <v>63</v>
      </c>
      <c r="N36" s="61">
        <f>((Eingaben!G8)/(2*PI()))*LN(B6/B4)</f>
        <v>0.58534395309062237</v>
      </c>
      <c r="O36" s="15" t="s">
        <v>22</v>
      </c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8">
      <c r="A37" s="9" t="s">
        <v>132</v>
      </c>
      <c r="B37" s="83">
        <f>(B36)*Eingaben!D7</f>
        <v>3.7300326482190373E-2</v>
      </c>
      <c r="C37" s="73" t="s">
        <v>116</v>
      </c>
      <c r="D37" s="10" t="s">
        <v>49</v>
      </c>
      <c r="E37" s="74">
        <f>SQRT(IMABS(IMDIV(E35,E36)))</f>
        <v>49.201831218140953</v>
      </c>
      <c r="F37" s="73" t="s">
        <v>50</v>
      </c>
      <c r="G37" s="10"/>
      <c r="H37" s="4"/>
      <c r="I37" s="15"/>
      <c r="J37" s="10" t="s">
        <v>80</v>
      </c>
      <c r="K37" s="81">
        <f>(E6*B7*((Eingaben!J8)*10^-6)*1000)</f>
        <v>3.531467362164022</v>
      </c>
      <c r="L37" s="15" t="s">
        <v>45</v>
      </c>
      <c r="M37" s="13" t="s">
        <v>64</v>
      </c>
      <c r="N37" s="61">
        <f>N36+N35</f>
        <v>1.6494316476119844</v>
      </c>
      <c r="O37" s="15" t="s">
        <v>22</v>
      </c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8">
      <c r="A38" s="9" t="s">
        <v>133</v>
      </c>
      <c r="B38" s="83">
        <f>B36*E2</f>
        <v>1.2260024432678197E-2</v>
      </c>
      <c r="C38" s="73" t="s">
        <v>116</v>
      </c>
      <c r="D38" s="10" t="s">
        <v>53</v>
      </c>
      <c r="E38" s="74">
        <f>((Eingaben!D6))/E37</f>
        <v>2.2356891456398165</v>
      </c>
      <c r="F38" s="73" t="s">
        <v>44</v>
      </c>
      <c r="G38" s="10"/>
      <c r="H38" s="4"/>
      <c r="I38" s="15"/>
      <c r="J38" s="10" t="s">
        <v>79</v>
      </c>
      <c r="K38" s="81">
        <f>(E6*K20)</f>
        <v>224.27829953977533</v>
      </c>
      <c r="L38" s="15" t="s">
        <v>126</v>
      </c>
      <c r="M38" s="13" t="s">
        <v>59</v>
      </c>
      <c r="N38" s="61">
        <f>(1/(N37*B5))*1000</f>
        <v>6.8138170737076376</v>
      </c>
      <c r="O38" s="15" t="s">
        <v>65</v>
      </c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8">
      <c r="A39" s="9"/>
      <c r="B39" s="4"/>
      <c r="C39" s="15"/>
      <c r="D39" s="10" t="s">
        <v>54</v>
      </c>
      <c r="E39" s="74">
        <f>(((Eingaben!D6)^2)/E37)</f>
        <v>245.92580602037981</v>
      </c>
      <c r="F39" s="73" t="s">
        <v>114</v>
      </c>
      <c r="G39" s="10"/>
      <c r="H39" s="4"/>
      <c r="I39" s="15"/>
      <c r="J39" s="10" t="s">
        <v>78</v>
      </c>
      <c r="K39" s="81">
        <f>(K38*1000)*TAN(RADIANS(E8))*3</f>
        <v>915.12343066935932</v>
      </c>
      <c r="L39" s="15" t="s">
        <v>58</v>
      </c>
      <c r="M39" s="14" t="s">
        <v>67</v>
      </c>
      <c r="N39" s="61">
        <f>N35*(K40/1000)</f>
        <v>1.2733594331165698</v>
      </c>
      <c r="O39" s="15" t="s">
        <v>24</v>
      </c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8">
      <c r="A40" s="9"/>
      <c r="B40" s="61"/>
      <c r="C40" s="15"/>
      <c r="D40" s="72"/>
      <c r="E40" s="72"/>
      <c r="F40" s="72"/>
      <c r="G40" s="10"/>
      <c r="H40" s="4"/>
      <c r="I40" s="15"/>
      <c r="J40" s="10" t="s">
        <v>77</v>
      </c>
      <c r="K40" s="81">
        <f>(K36+K39)</f>
        <v>1196.6677555549975</v>
      </c>
      <c r="L40" s="15" t="s">
        <v>58</v>
      </c>
      <c r="M40" s="14" t="s">
        <v>68</v>
      </c>
      <c r="N40" s="61">
        <f>N39</f>
        <v>1.2733594331165698</v>
      </c>
      <c r="O40" s="15" t="s">
        <v>24</v>
      </c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8">
      <c r="A41" s="9"/>
      <c r="B41" s="61"/>
      <c r="C41" s="15"/>
      <c r="D41" s="10" t="s">
        <v>151</v>
      </c>
      <c r="E41" s="74">
        <f>(Kabeldaten!B34/100)*Kabeldaten!B31</f>
        <v>1.6</v>
      </c>
      <c r="F41" s="73" t="s">
        <v>100</v>
      </c>
      <c r="G41" s="10"/>
      <c r="H41" s="4"/>
      <c r="I41" s="15"/>
      <c r="J41" s="10" t="s">
        <v>137</v>
      </c>
      <c r="K41" s="4">
        <f>(((Eingaben!D8*K40)/1000000)/B22)*100</f>
        <v>0.16838664477790774</v>
      </c>
      <c r="L41" s="15" t="s">
        <v>48</v>
      </c>
      <c r="M41" s="14" t="s">
        <v>69</v>
      </c>
      <c r="N41" s="61">
        <f>N40+(Eingaben!G10)</f>
        <v>16.273359433116571</v>
      </c>
      <c r="O41" s="15" t="s">
        <v>24</v>
      </c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8">
      <c r="A42" s="9"/>
      <c r="B42" s="61"/>
      <c r="C42" s="15"/>
      <c r="D42" s="10" t="s">
        <v>152</v>
      </c>
      <c r="E42" s="74">
        <f>IF((Kabeldaten!B31&lt;B16),((ROUNDUP((B16/Kabeldaten!B31),0))*E41),E41)</f>
        <v>3.2</v>
      </c>
      <c r="F42" s="73" t="s">
        <v>100</v>
      </c>
      <c r="G42" s="10"/>
      <c r="H42" s="4"/>
      <c r="I42" s="15"/>
      <c r="J42" s="10"/>
      <c r="K42" s="4"/>
      <c r="L42" s="15"/>
      <c r="M42" s="14" t="s">
        <v>70</v>
      </c>
      <c r="N42" s="61">
        <f>N40/(1+(Formeln!B9*N40))</f>
        <v>1.2669065236256274</v>
      </c>
      <c r="O42" s="15" t="s">
        <v>24</v>
      </c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8">
      <c r="A43" s="9"/>
      <c r="B43" s="61"/>
      <c r="C43" s="15"/>
      <c r="D43" s="10" t="s">
        <v>167</v>
      </c>
      <c r="E43" s="74">
        <f>IF(((E25=(ROUNDUP((B16/Kabeldaten!B31),0))*E24)),((B33/((ROUNDUP((B16/Kabeldaten!B31),0))*Kabeldaten!B31))*100),((B33/Kabeldaten!B31)*100))</f>
        <v>18.701754385964914</v>
      </c>
      <c r="F43" s="73" t="s">
        <v>48</v>
      </c>
      <c r="G43" s="10"/>
      <c r="H43" s="4"/>
      <c r="I43" s="15"/>
      <c r="J43" s="10"/>
      <c r="K43" s="4"/>
      <c r="L43" s="15"/>
      <c r="M43" s="14" t="s">
        <v>88</v>
      </c>
      <c r="N43" s="61">
        <f>SQRT(N42*((N38*(B5/1000)/((Eingaben!D9)*(Formeln!B8)))))</f>
        <v>0.20792671667964671</v>
      </c>
      <c r="O43" s="15" t="s">
        <v>71</v>
      </c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8">
      <c r="A44" s="9"/>
      <c r="B44" s="61"/>
      <c r="C44" s="15"/>
      <c r="D44" s="10" t="s">
        <v>153</v>
      </c>
      <c r="E44" s="74">
        <f>((Kabeldaten!B33/100)*((Kabeldaten!B31*(E43/100)/Kabeldaten!B31)^2)*Kabeldaten!B31)*(ROUNDUP((B16/Kabeldaten!B31),0))</f>
        <v>0.44404973148661125</v>
      </c>
      <c r="F44" s="73" t="s">
        <v>100</v>
      </c>
      <c r="G44" s="10"/>
      <c r="H44" s="4"/>
      <c r="I44" s="15"/>
      <c r="J44" s="10"/>
      <c r="K44" s="4"/>
      <c r="L44" s="15"/>
      <c r="M44" s="13" t="s">
        <v>95</v>
      </c>
      <c r="N44" s="61">
        <f>((Eingaben!D9)*N43)</f>
        <v>130.99383150817744</v>
      </c>
      <c r="O44" s="15" t="s">
        <v>44</v>
      </c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8">
      <c r="A45" s="9"/>
      <c r="B45" s="61"/>
      <c r="C45" s="15"/>
      <c r="D45" s="10" t="s">
        <v>154</v>
      </c>
      <c r="E45" s="74">
        <f>E42+E44</f>
        <v>3.6440497314866116</v>
      </c>
      <c r="F45" s="73" t="s">
        <v>150</v>
      </c>
      <c r="G45" s="10"/>
      <c r="H45" s="4"/>
      <c r="I45" s="15"/>
      <c r="J45" s="10"/>
      <c r="K45" s="4"/>
      <c r="L45" s="15"/>
      <c r="M45" s="13" t="s">
        <v>96</v>
      </c>
      <c r="N45" s="61">
        <f>(SQRT(3)*N44*(Eingaben!D6))/1000</f>
        <v>24.957676881530816</v>
      </c>
      <c r="O45" s="15" t="s">
        <v>99</v>
      </c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8.75" thickBot="1">
      <c r="A46" s="169"/>
      <c r="B46" s="170"/>
      <c r="C46" s="171"/>
      <c r="D46" s="172" t="s">
        <v>168</v>
      </c>
      <c r="E46" s="96">
        <f>($E$17*Eingaben!$D$8)-$E$45</f>
        <v>9.8126482408999074</v>
      </c>
      <c r="F46" s="97" t="s">
        <v>150</v>
      </c>
      <c r="G46" s="173"/>
      <c r="H46" s="173"/>
      <c r="I46" s="173"/>
      <c r="J46" s="175"/>
      <c r="K46" s="173"/>
      <c r="L46" s="174"/>
      <c r="M46" s="173"/>
      <c r="N46" s="173"/>
      <c r="O46" s="174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thickBo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thickTop="1">
      <c r="A75" s="31" t="s">
        <v>163</v>
      </c>
      <c r="B75" s="32"/>
      <c r="C75" s="32"/>
      <c r="D75" s="32"/>
      <c r="E75" s="32"/>
      <c r="F75" s="32"/>
      <c r="G75" s="32"/>
      <c r="H75" s="32"/>
      <c r="I75" s="33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>
      <c r="A76" s="102"/>
      <c r="B76" s="103"/>
      <c r="C76" s="103"/>
      <c r="D76" s="103"/>
      <c r="E76" s="103"/>
      <c r="F76" s="103"/>
      <c r="G76" s="103"/>
      <c r="H76" s="103"/>
      <c r="I76" s="104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8">
      <c r="A77" s="105"/>
      <c r="B77" s="106" t="s">
        <v>149</v>
      </c>
      <c r="C77" s="106" t="s">
        <v>152</v>
      </c>
      <c r="D77" s="106" t="s">
        <v>162</v>
      </c>
      <c r="E77" s="106" t="s">
        <v>164</v>
      </c>
      <c r="F77" s="106" t="s">
        <v>165</v>
      </c>
      <c r="G77" s="106" t="s">
        <v>166</v>
      </c>
      <c r="H77" s="25"/>
      <c r="I77" s="107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>
      <c r="A78" s="108"/>
      <c r="B78" s="109">
        <v>0</v>
      </c>
      <c r="C78" s="110">
        <f>$E$25</f>
        <v>3.2</v>
      </c>
      <c r="D78" s="110">
        <f>((Kabeldaten!$B$33/100)*((Kabeldaten!$B$31*(B78/100)/Kabeldaten!$B$31)^2)*Kabeldaten!$B$31)*(ROUNDUP(($B$16/Kabeldaten!$B$31),0))</f>
        <v>0</v>
      </c>
      <c r="E78" s="110">
        <f>C78+D78</f>
        <v>3.2</v>
      </c>
      <c r="F78" s="111">
        <f>$E$17*Eingaben!D8</f>
        <v>13.45669797238652</v>
      </c>
      <c r="G78" s="111">
        <f>IF(($E78=$F78),($E$90-$F$90),(($F78-$E78)))</f>
        <v>10.256697972386519</v>
      </c>
      <c r="H78" s="111">
        <f>$E$17*Eingaben!$D$8*Eingaben!$D$10</f>
        <v>26.91339594477304</v>
      </c>
      <c r="I78" s="112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>
      <c r="A79" s="34"/>
      <c r="B79" s="113">
        <v>10</v>
      </c>
      <c r="C79" s="114">
        <f t="shared" ref="C79:C90" si="0">$E$25</f>
        <v>3.2</v>
      </c>
      <c r="D79" s="114">
        <f>((Kabeldaten!$B$33/100)*((Kabeldaten!$B$31*(B79/100)/Kabeldaten!$B$31)^2)*Kabeldaten!$B$31)*(ROUNDUP(($B$16/Kabeldaten!$B$31),0))</f>
        <v>0.12696000000000002</v>
      </c>
      <c r="E79" s="114">
        <f t="shared" ref="E79:E90" si="1">C79+D79</f>
        <v>3.3269600000000001</v>
      </c>
      <c r="F79" s="115">
        <f>$E$17*Eingaben!$D$8</f>
        <v>13.45669797238652</v>
      </c>
      <c r="G79" s="115">
        <f t="shared" ref="G79:G90" si="2">IF(($E79=$F79),($E$90-$F$90),(($F79-$E79)))</f>
        <v>10.12973797238652</v>
      </c>
      <c r="H79" s="115">
        <f>$E$17*Eingaben!$D$8*Eingaben!$D$10</f>
        <v>26.91339594477304</v>
      </c>
      <c r="I79" s="35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>
      <c r="A80" s="34"/>
      <c r="B80" s="113">
        <v>20</v>
      </c>
      <c r="C80" s="114">
        <f t="shared" si="0"/>
        <v>3.2</v>
      </c>
      <c r="D80" s="114">
        <f>((Kabeldaten!$B$33/100)*((Kabeldaten!$B$31*(B80/100)/Kabeldaten!$B$31)^2)*Kabeldaten!$B$31)*(ROUNDUP(($B$16/Kabeldaten!$B$31),0))</f>
        <v>0.50784000000000007</v>
      </c>
      <c r="E80" s="114">
        <f t="shared" si="1"/>
        <v>3.70784</v>
      </c>
      <c r="F80" s="115">
        <f>$E$17*Eingaben!$D$8</f>
        <v>13.45669797238652</v>
      </c>
      <c r="G80" s="115">
        <f t="shared" si="2"/>
        <v>9.7488579723865207</v>
      </c>
      <c r="H80" s="115">
        <f>$E$17*Eingaben!$D$8*Eingaben!$D$10</f>
        <v>26.91339594477304</v>
      </c>
      <c r="I80" s="35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>
      <c r="A81" s="34"/>
      <c r="B81" s="113">
        <v>24.21</v>
      </c>
      <c r="C81" s="114">
        <f t="shared" si="0"/>
        <v>3.2</v>
      </c>
      <c r="D81" s="114">
        <f>((Kabeldaten!$B$33/100)*((Kabeldaten!$B$31*(B81/100)/Kabeldaten!$B$31)^2)*Kabeldaten!$B$31)*(ROUNDUP(($B$16/Kabeldaten!$B$31),0))</f>
        <v>0.74414315736000014</v>
      </c>
      <c r="E81" s="114">
        <f t="shared" si="1"/>
        <v>3.9441431573600001</v>
      </c>
      <c r="F81" s="115">
        <f>$E$17*Eingaben!$D$8</f>
        <v>13.45669797238652</v>
      </c>
      <c r="G81" s="115">
        <f t="shared" si="2"/>
        <v>9.5125548150265189</v>
      </c>
      <c r="H81" s="115">
        <f>$E$17*Eingaben!$D$8*Eingaben!$D$10</f>
        <v>26.91339594477304</v>
      </c>
      <c r="I81" s="35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>
      <c r="A82" s="34"/>
      <c r="B82" s="113">
        <v>30</v>
      </c>
      <c r="C82" s="114">
        <f t="shared" si="0"/>
        <v>3.2</v>
      </c>
      <c r="D82" s="114">
        <f>((Kabeldaten!$B$33/100)*((Kabeldaten!$B$31*(B82/100)/Kabeldaten!$B$31)^2)*Kabeldaten!$B$31)*(ROUNDUP(($B$16/Kabeldaten!$B$31),0))</f>
        <v>1.1426399999999997</v>
      </c>
      <c r="E82" s="114">
        <f t="shared" si="1"/>
        <v>4.3426399999999994</v>
      </c>
      <c r="F82" s="115">
        <f>$E$17*Eingaben!$D$8</f>
        <v>13.45669797238652</v>
      </c>
      <c r="G82" s="115">
        <f t="shared" si="2"/>
        <v>9.1140579723865205</v>
      </c>
      <c r="H82" s="115">
        <f>$E$17*Eingaben!$D$8*Eingaben!$D$10</f>
        <v>26.91339594477304</v>
      </c>
      <c r="I82" s="35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>
      <c r="A83" s="34"/>
      <c r="B83" s="113">
        <v>40</v>
      </c>
      <c r="C83" s="114">
        <f t="shared" si="0"/>
        <v>3.2</v>
      </c>
      <c r="D83" s="114">
        <f>((Kabeldaten!$B$33/100)*((Kabeldaten!$B$31*(B83/100)/Kabeldaten!$B$31)^2)*Kabeldaten!$B$31)*(ROUNDUP(($B$16/Kabeldaten!$B$31),0))</f>
        <v>2.0313600000000003</v>
      </c>
      <c r="E83" s="114">
        <f t="shared" si="1"/>
        <v>5.2313600000000005</v>
      </c>
      <c r="F83" s="115">
        <f>$E$17*Eingaben!$D$8</f>
        <v>13.45669797238652</v>
      </c>
      <c r="G83" s="115">
        <f t="shared" si="2"/>
        <v>8.2253379723865194</v>
      </c>
      <c r="H83" s="115">
        <f>$E$17*Eingaben!$D$8*Eingaben!$D$10</f>
        <v>26.91339594477304</v>
      </c>
      <c r="I83" s="35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>
      <c r="A84" s="34"/>
      <c r="B84" s="113">
        <v>48.42</v>
      </c>
      <c r="C84" s="114">
        <f t="shared" si="0"/>
        <v>3.2</v>
      </c>
      <c r="D84" s="114">
        <f>((Kabeldaten!$B$33/100)*((Kabeldaten!$B$31*(B84/100)/Kabeldaten!$B$31)^2)*Kabeldaten!$B$31)*(ROUNDUP(($B$16/Kabeldaten!$B$31),0))</f>
        <v>2.9765726294400006</v>
      </c>
      <c r="E84" s="114">
        <f t="shared" si="1"/>
        <v>6.1765726294400007</v>
      </c>
      <c r="F84" s="115">
        <f>$E$17*Eingaben!$D$8</f>
        <v>13.45669797238652</v>
      </c>
      <c r="G84" s="115">
        <f t="shared" si="2"/>
        <v>7.2801253429465191</v>
      </c>
      <c r="H84" s="115">
        <f>$E$17*Eingaben!$D$8*Eingaben!$D$10</f>
        <v>26.91339594477304</v>
      </c>
      <c r="I84" s="35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>
      <c r="A85" s="34"/>
      <c r="B85" s="113">
        <v>50</v>
      </c>
      <c r="C85" s="114">
        <f t="shared" si="0"/>
        <v>3.2</v>
      </c>
      <c r="D85" s="114">
        <f>((Kabeldaten!$B$33/100)*((Kabeldaten!$B$31*(B85/100)/Kabeldaten!$B$31)^2)*Kabeldaten!$B$31)*(ROUNDUP(($B$16/Kabeldaten!$B$31),0))</f>
        <v>3.1739999999999995</v>
      </c>
      <c r="E85" s="114">
        <f t="shared" si="1"/>
        <v>6.3739999999999997</v>
      </c>
      <c r="F85" s="115">
        <f>$E$17*Eingaben!$D$8</f>
        <v>13.45669797238652</v>
      </c>
      <c r="G85" s="115">
        <f t="shared" si="2"/>
        <v>7.0826979723865202</v>
      </c>
      <c r="H85" s="115">
        <f>$E$17*Eingaben!$D$8*Eingaben!$D$10</f>
        <v>26.91339594477304</v>
      </c>
      <c r="I85" s="35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>
      <c r="A86" s="34"/>
      <c r="B86" s="113">
        <v>60</v>
      </c>
      <c r="C86" s="114">
        <f t="shared" si="0"/>
        <v>3.2</v>
      </c>
      <c r="D86" s="114">
        <f>((Kabeldaten!$B$33/100)*((Kabeldaten!$B$31*(B86/100)/Kabeldaten!$B$31)^2)*Kabeldaten!$B$31)*(ROUNDUP(($B$16/Kabeldaten!$B$31),0))</f>
        <v>4.5705599999999986</v>
      </c>
      <c r="E86" s="114">
        <f t="shared" si="1"/>
        <v>7.7705599999999988</v>
      </c>
      <c r="F86" s="115">
        <f>$E$17*Eingaben!$D$8</f>
        <v>13.45669797238652</v>
      </c>
      <c r="G86" s="115">
        <f t="shared" si="2"/>
        <v>5.6861379723865211</v>
      </c>
      <c r="H86" s="115">
        <f>$E$17*Eingaben!$D$8*Eingaben!$D$10</f>
        <v>26.91339594477304</v>
      </c>
      <c r="I86" s="35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>
      <c r="A87" s="34"/>
      <c r="B87" s="113">
        <v>70</v>
      </c>
      <c r="C87" s="114">
        <f t="shared" si="0"/>
        <v>3.2</v>
      </c>
      <c r="D87" s="114">
        <f>((Kabeldaten!$B$33/100)*((Kabeldaten!$B$31*(B87/100)/Kabeldaten!$B$31)^2)*Kabeldaten!$B$31)*(ROUNDUP(($B$16/Kabeldaten!$B$31),0))</f>
        <v>6.2210399999999986</v>
      </c>
      <c r="E87" s="114">
        <f t="shared" si="1"/>
        <v>9.4210399999999979</v>
      </c>
      <c r="F87" s="115">
        <f>$E$17*Eingaben!$D$8</f>
        <v>13.45669797238652</v>
      </c>
      <c r="G87" s="115">
        <f t="shared" si="2"/>
        <v>4.035657972386522</v>
      </c>
      <c r="H87" s="115">
        <f>$E$17*Eingaben!$D$8*Eingaben!$D$10</f>
        <v>26.91339594477304</v>
      </c>
      <c r="I87" s="35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>
      <c r="A88" s="34"/>
      <c r="B88" s="113">
        <v>80</v>
      </c>
      <c r="C88" s="114">
        <f t="shared" si="0"/>
        <v>3.2</v>
      </c>
      <c r="D88" s="114">
        <f>((Kabeldaten!$B$33/100)*((Kabeldaten!$B$31*(B88/100)/Kabeldaten!$B$31)^2)*Kabeldaten!$B$31)*(ROUNDUP(($B$16/Kabeldaten!$B$31),0))</f>
        <v>8.1254400000000011</v>
      </c>
      <c r="E88" s="114">
        <f t="shared" si="1"/>
        <v>11.32544</v>
      </c>
      <c r="F88" s="115">
        <f>$E$17*Eingaben!$D$8</f>
        <v>13.45669797238652</v>
      </c>
      <c r="G88" s="115">
        <f t="shared" si="2"/>
        <v>2.1312579723865195</v>
      </c>
      <c r="H88" s="115">
        <f>$E$17*Eingaben!$D$8*Eingaben!$D$10</f>
        <v>26.91339594477304</v>
      </c>
      <c r="I88" s="35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>
      <c r="A89" s="34"/>
      <c r="B89" s="113">
        <v>90</v>
      </c>
      <c r="C89" s="114">
        <f t="shared" si="0"/>
        <v>3.2</v>
      </c>
      <c r="D89" s="114">
        <f>((Kabeldaten!$B$33/100)*((Kabeldaten!$B$31*(B89/100)/Kabeldaten!$B$31)^2)*Kabeldaten!$B$31)*(ROUNDUP(($B$16/Kabeldaten!$B$31),0))</f>
        <v>10.283759999999999</v>
      </c>
      <c r="E89" s="114">
        <f t="shared" si="1"/>
        <v>13.48376</v>
      </c>
      <c r="F89" s="115">
        <f>$E$17*Eingaben!$D$8</f>
        <v>13.45669797238652</v>
      </c>
      <c r="G89" s="115">
        <f t="shared" si="2"/>
        <v>-2.7062027613480311E-2</v>
      </c>
      <c r="H89" s="115">
        <f>$E$17*Eingaben!$D$8*Eingaben!$D$10</f>
        <v>26.91339594477304</v>
      </c>
      <c r="I89" s="35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>
      <c r="A90" s="102"/>
      <c r="B90" s="116">
        <v>100</v>
      </c>
      <c r="C90" s="117">
        <f t="shared" si="0"/>
        <v>3.2</v>
      </c>
      <c r="D90" s="117">
        <f>((Kabeldaten!$B$33/100)*((Kabeldaten!$B$31*(B90/100)/Kabeldaten!$B$31)^2)*Kabeldaten!$B$31)*(ROUNDUP(($B$16/Kabeldaten!$B$31),0))</f>
        <v>12.695999999999998</v>
      </c>
      <c r="E90" s="117">
        <f t="shared" si="1"/>
        <v>15.895999999999997</v>
      </c>
      <c r="F90" s="118">
        <f>$E$17*Eingaben!$D$8</f>
        <v>13.45669797238652</v>
      </c>
      <c r="G90" s="118">
        <f t="shared" si="2"/>
        <v>-2.4393020276134774</v>
      </c>
      <c r="H90" s="118">
        <f>$E$17*Eingaben!$D$8*Eingaben!$D$10</f>
        <v>26.91339594477304</v>
      </c>
      <c r="I90" s="104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>
      <c r="A91" s="34"/>
      <c r="B91" s="22"/>
      <c r="C91" s="22"/>
      <c r="D91" s="22"/>
      <c r="E91" s="22"/>
      <c r="F91" s="22"/>
      <c r="G91" s="22"/>
      <c r="H91" s="22"/>
      <c r="I91" s="35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>
      <c r="A92" s="34"/>
      <c r="B92" s="22"/>
      <c r="C92" s="22"/>
      <c r="D92" s="22"/>
      <c r="E92" s="22"/>
      <c r="F92" s="22"/>
      <c r="G92" s="22"/>
      <c r="H92" s="22"/>
      <c r="I92" s="35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>
      <c r="A93" s="34"/>
      <c r="B93" s="22"/>
      <c r="C93" s="22"/>
      <c r="D93" s="22"/>
      <c r="E93" s="22"/>
      <c r="F93" s="22"/>
      <c r="G93" s="22"/>
      <c r="H93" s="22"/>
      <c r="I93" s="35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>
      <c r="A94" s="34"/>
      <c r="B94" s="22"/>
      <c r="C94" s="22"/>
      <c r="D94" s="22"/>
      <c r="E94" s="22"/>
      <c r="F94" s="22"/>
      <c r="G94" s="22"/>
      <c r="H94" s="22"/>
      <c r="I94" s="35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>
      <c r="A95" s="34"/>
      <c r="B95" s="22"/>
      <c r="C95" s="22"/>
      <c r="D95" s="22"/>
      <c r="E95" s="22"/>
      <c r="F95" s="22"/>
      <c r="G95" s="22"/>
      <c r="H95" s="22"/>
      <c r="I95" s="35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>
      <c r="A96" s="34"/>
      <c r="B96" s="22"/>
      <c r="C96" s="22"/>
      <c r="D96" s="22"/>
      <c r="E96" s="22"/>
      <c r="F96" s="22"/>
      <c r="G96" s="22"/>
      <c r="H96" s="22"/>
      <c r="I96" s="35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>
      <c r="A97" s="34"/>
      <c r="B97" s="22"/>
      <c r="C97" s="22"/>
      <c r="D97" s="22"/>
      <c r="E97" s="22"/>
      <c r="F97" s="22"/>
      <c r="G97" s="22"/>
      <c r="H97" s="22"/>
      <c r="I97" s="35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>
      <c r="A98" s="34"/>
      <c r="B98" s="22"/>
      <c r="C98" s="22"/>
      <c r="D98" s="22"/>
      <c r="E98" s="22"/>
      <c r="F98" s="22"/>
      <c r="G98" s="22"/>
      <c r="H98" s="22"/>
      <c r="I98" s="35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>
      <c r="A99" s="34"/>
      <c r="B99" s="22"/>
      <c r="C99" s="22"/>
      <c r="D99" s="22"/>
      <c r="E99" s="22"/>
      <c r="F99" s="22"/>
      <c r="G99" s="22"/>
      <c r="H99" s="22"/>
      <c r="I99" s="35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>
      <c r="A100" s="34"/>
      <c r="B100" s="22"/>
      <c r="C100" s="22"/>
      <c r="D100" s="22"/>
      <c r="E100" s="22"/>
      <c r="F100" s="22"/>
      <c r="G100" s="22"/>
      <c r="H100" s="22"/>
      <c r="I100" s="35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>
      <c r="A101" s="34"/>
      <c r="B101" s="22"/>
      <c r="C101" s="22"/>
      <c r="D101" s="22"/>
      <c r="E101" s="22"/>
      <c r="F101" s="22"/>
      <c r="G101" s="22"/>
      <c r="H101" s="22"/>
      <c r="I101" s="35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>
      <c r="A102" s="34"/>
      <c r="B102" s="22"/>
      <c r="C102" s="22"/>
      <c r="D102" s="22"/>
      <c r="E102" s="22"/>
      <c r="F102" s="22"/>
      <c r="G102" s="22"/>
      <c r="H102" s="22"/>
      <c r="I102" s="35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>
      <c r="A103" s="34"/>
      <c r="B103" s="22"/>
      <c r="C103" s="22"/>
      <c r="D103" s="22"/>
      <c r="E103" s="22"/>
      <c r="F103" s="22"/>
      <c r="G103" s="22"/>
      <c r="H103" s="22"/>
      <c r="I103" s="35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>
      <c r="A104" s="34"/>
      <c r="B104" s="22"/>
      <c r="C104" s="22"/>
      <c r="D104" s="22"/>
      <c r="E104" s="22"/>
      <c r="F104" s="22"/>
      <c r="G104" s="22"/>
      <c r="H104" s="22"/>
      <c r="I104" s="35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>
      <c r="A105" s="34"/>
      <c r="B105" s="22"/>
      <c r="C105" s="22"/>
      <c r="D105" s="22"/>
      <c r="E105" s="22"/>
      <c r="F105" s="22"/>
      <c r="G105" s="22"/>
      <c r="H105" s="22"/>
      <c r="I105" s="35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>
      <c r="A106" s="34"/>
      <c r="B106" s="22"/>
      <c r="C106" s="22"/>
      <c r="D106" s="22"/>
      <c r="E106" s="22"/>
      <c r="F106" s="22"/>
      <c r="G106" s="22"/>
      <c r="H106" s="22"/>
      <c r="I106" s="35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>
      <c r="A107" s="34"/>
      <c r="B107" s="22"/>
      <c r="C107" s="22"/>
      <c r="D107" s="22"/>
      <c r="E107" s="22"/>
      <c r="F107" s="22"/>
      <c r="G107" s="22"/>
      <c r="H107" s="22"/>
      <c r="I107" s="35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thickBot="1">
      <c r="A108" s="37"/>
      <c r="B108" s="23"/>
      <c r="C108" s="23"/>
      <c r="D108" s="23"/>
      <c r="E108" s="23"/>
      <c r="F108" s="23"/>
      <c r="G108" s="23"/>
      <c r="H108" s="23"/>
      <c r="I108" s="38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thickTop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</sheetData>
  <sheetProtection password="EE37" sheet="1" objects="1" scenarios="1"/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54"/>
  <sheetViews>
    <sheetView workbookViewId="0">
      <selection activeCell="L15" sqref="L15"/>
    </sheetView>
  </sheetViews>
  <sheetFormatPr baseColWidth="10" defaultRowHeight="15"/>
  <cols>
    <col min="1" max="1" width="7.5703125" customWidth="1"/>
    <col min="2" max="2" width="9.140625" customWidth="1"/>
    <col min="3" max="3" width="11.42578125" customWidth="1"/>
    <col min="9" max="9" width="12.28515625" customWidth="1"/>
  </cols>
  <sheetData>
    <row r="1" spans="1:42" ht="18.75" thickBot="1">
      <c r="A1" s="151" t="s">
        <v>112</v>
      </c>
      <c r="B1" s="152"/>
      <c r="C1" s="152" t="s">
        <v>181</v>
      </c>
      <c r="D1" s="152">
        <f>Eingaben!D6</f>
        <v>110</v>
      </c>
      <c r="E1" s="153" t="s">
        <v>101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AB1" s="56" t="s">
        <v>4</v>
      </c>
      <c r="AC1" s="55"/>
      <c r="AD1" s="55"/>
      <c r="AE1" s="40" t="s">
        <v>3</v>
      </c>
      <c r="AF1" s="55"/>
      <c r="AG1" s="55"/>
      <c r="AH1" s="40" t="s">
        <v>0</v>
      </c>
      <c r="AI1" s="55"/>
      <c r="AJ1" s="55"/>
      <c r="AK1" s="40" t="s">
        <v>1</v>
      </c>
      <c r="AL1" s="55"/>
      <c r="AM1" s="55"/>
      <c r="AN1" s="40" t="s">
        <v>11</v>
      </c>
      <c r="AO1" s="55"/>
      <c r="AP1" s="55"/>
    </row>
    <row r="2" spans="1:42" ht="19.5" thickTop="1" thickBot="1">
      <c r="A2" s="154"/>
      <c r="B2" s="155"/>
      <c r="C2" s="155" t="s">
        <v>14</v>
      </c>
      <c r="D2" s="155">
        <f>Eingaben!D9</f>
        <v>630</v>
      </c>
      <c r="E2" s="156" t="s">
        <v>15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AB2" s="56"/>
      <c r="AC2" s="55">
        <v>110000</v>
      </c>
      <c r="AD2" s="55">
        <v>30000</v>
      </c>
      <c r="AE2" s="40"/>
      <c r="AF2" s="55" t="s">
        <v>104</v>
      </c>
      <c r="AG2" s="55" t="s">
        <v>107</v>
      </c>
      <c r="AH2" s="40"/>
      <c r="AI2" s="55" t="s">
        <v>104</v>
      </c>
      <c r="AJ2" s="55" t="s">
        <v>107</v>
      </c>
      <c r="AK2" s="40"/>
      <c r="AL2" s="55" t="s">
        <v>104</v>
      </c>
      <c r="AM2" s="55" t="s">
        <v>107</v>
      </c>
      <c r="AN2" s="40"/>
      <c r="AO2" s="55" t="s">
        <v>104</v>
      </c>
      <c r="AP2" s="55" t="s">
        <v>107</v>
      </c>
    </row>
    <row r="3" spans="1:42" ht="16.5" thickTop="1" thickBo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AB3" s="46">
        <v>400</v>
      </c>
      <c r="AC3" s="45">
        <v>0.10100000000000001</v>
      </c>
      <c r="AE3" s="48">
        <v>400</v>
      </c>
      <c r="AF3" s="45">
        <v>7.8799999999999995E-2</v>
      </c>
      <c r="AH3" s="48">
        <v>400</v>
      </c>
      <c r="AI3" s="45">
        <v>0.43</v>
      </c>
      <c r="AK3" s="48">
        <v>400</v>
      </c>
      <c r="AL3" s="45">
        <v>0.151</v>
      </c>
      <c r="AN3" s="48">
        <v>400</v>
      </c>
      <c r="AO3" s="47">
        <v>73</v>
      </c>
    </row>
    <row r="4" spans="1:42" ht="18.75" thickTop="1">
      <c r="A4" s="143" t="s">
        <v>4</v>
      </c>
      <c r="B4" s="143" t="s">
        <v>3</v>
      </c>
      <c r="C4" s="143" t="s">
        <v>0</v>
      </c>
      <c r="D4" s="143" t="s">
        <v>1</v>
      </c>
      <c r="E4" s="143" t="s">
        <v>11</v>
      </c>
      <c r="F4" s="143" t="s">
        <v>156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AB4" s="46">
        <v>500</v>
      </c>
      <c r="AE4" s="46">
        <v>500</v>
      </c>
      <c r="AH4" s="46">
        <v>500</v>
      </c>
      <c r="AK4" s="46">
        <v>500</v>
      </c>
      <c r="AN4" s="46">
        <v>500</v>
      </c>
    </row>
    <row r="5" spans="1:42">
      <c r="A5" s="139">
        <f>INDEX($B9:G10,MATCH($D$1,$A9:$A10,0),MATCH($D$2,$B8:G8,0))</f>
        <v>6.2199999999999998E-2</v>
      </c>
      <c r="B5" s="139">
        <f>INDEX($B12:G13,MATCH($D$1,$A12:$A13,0),MATCH($D$2,$B11:G11,0))</f>
        <v>4.6899999999999997E-2</v>
      </c>
      <c r="C5" s="139">
        <f>INDEX($B15:G16,MATCH($D$1,$A15:$A16,0),MATCH($D$2,$B14:G14,0))</f>
        <v>0.38</v>
      </c>
      <c r="D5" s="139">
        <f>INDEX($B18:G19,MATCH($D$1,$A18:$A19,0),MATCH($D$2,$B17:G17,0))</f>
        <v>0.17699999999999999</v>
      </c>
      <c r="E5" s="139">
        <f>INDEX($B21:G22,MATCH($D$1,$A21:$A22,0),MATCH($D$2,$B20:G20,0))</f>
        <v>81</v>
      </c>
      <c r="F5" s="139">
        <f>INDEX($B24:G25,MATCH($D$1,$A24:$A25,0),MATCH($D$2,$B23:G23,0))</f>
        <v>38.840000000000003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AB5" s="46">
        <v>630</v>
      </c>
      <c r="AD5">
        <v>6.3E-2</v>
      </c>
      <c r="AE5" s="46">
        <v>630</v>
      </c>
      <c r="AG5">
        <v>4.6899999999999997E-2</v>
      </c>
      <c r="AH5" s="46">
        <v>630</v>
      </c>
      <c r="AJ5">
        <v>0.31</v>
      </c>
      <c r="AK5" s="46">
        <v>630</v>
      </c>
      <c r="AM5">
        <v>0.33</v>
      </c>
      <c r="AN5" s="46">
        <v>630</v>
      </c>
      <c r="AP5">
        <v>56</v>
      </c>
    </row>
    <row r="6" spans="1:4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AB6" s="46">
        <v>800</v>
      </c>
      <c r="AD6">
        <v>5.0999999999999997E-2</v>
      </c>
      <c r="AE6" s="46">
        <v>800</v>
      </c>
      <c r="AG6">
        <v>3.6700000000000003E-2</v>
      </c>
      <c r="AH6" s="46">
        <v>800</v>
      </c>
      <c r="AJ6">
        <v>0.3</v>
      </c>
      <c r="AK6" s="46">
        <v>800</v>
      </c>
      <c r="AM6">
        <v>0.36</v>
      </c>
      <c r="AN6" s="46">
        <v>800</v>
      </c>
      <c r="AP6">
        <v>61</v>
      </c>
    </row>
    <row r="7" spans="1:42" ht="15.75" thickBo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AB7" s="46">
        <v>1000</v>
      </c>
      <c r="AD7" s="46">
        <v>4.2000000000000003E-2</v>
      </c>
      <c r="AE7" s="46">
        <v>1000</v>
      </c>
      <c r="AG7" s="46">
        <v>2.9100000000000001E-2</v>
      </c>
      <c r="AH7" s="46">
        <v>1000</v>
      </c>
      <c r="AJ7">
        <v>0.3</v>
      </c>
      <c r="AK7" s="46">
        <v>1000</v>
      </c>
      <c r="AM7" s="46">
        <v>0.39</v>
      </c>
      <c r="AN7" s="46">
        <v>1000</v>
      </c>
      <c r="AP7">
        <v>67</v>
      </c>
    </row>
    <row r="8" spans="1:42" ht="19.5" thickTop="1" thickBot="1">
      <c r="A8" s="140" t="s">
        <v>4</v>
      </c>
      <c r="B8" s="141">
        <v>300</v>
      </c>
      <c r="C8" s="141">
        <v>400</v>
      </c>
      <c r="D8" s="141">
        <v>500</v>
      </c>
      <c r="E8" s="141">
        <v>630</v>
      </c>
      <c r="F8" s="141">
        <v>800</v>
      </c>
      <c r="G8" s="142">
        <v>1000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1:42" ht="15.75" thickTop="1">
      <c r="A9" s="143">
        <v>110</v>
      </c>
      <c r="B9" s="88">
        <v>0.129</v>
      </c>
      <c r="C9" s="89">
        <v>0.10100000000000001</v>
      </c>
      <c r="D9" s="89">
        <v>7.9100000000000004E-2</v>
      </c>
      <c r="E9" s="89">
        <v>6.2199999999999998E-2</v>
      </c>
      <c r="F9" s="90">
        <v>4.9799999999999997E-2</v>
      </c>
      <c r="G9" s="63" t="s">
        <v>157</v>
      </c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42" ht="15.75" thickBot="1">
      <c r="A10" s="144">
        <v>30</v>
      </c>
      <c r="B10" s="91">
        <v>0.13300000000000001</v>
      </c>
      <c r="C10" s="89">
        <v>0.107</v>
      </c>
      <c r="D10" s="89">
        <v>7.9000000000000001E-2</v>
      </c>
      <c r="E10" s="89">
        <v>6.3E-2</v>
      </c>
      <c r="F10" s="92">
        <v>5.0999999999999997E-2</v>
      </c>
      <c r="G10" s="93">
        <v>4.2000000000000003E-2</v>
      </c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AB10" s="45" t="s">
        <v>111</v>
      </c>
      <c r="AI10" s="50"/>
    </row>
    <row r="11" spans="1:42" ht="19.5" thickTop="1" thickBot="1">
      <c r="A11" s="140" t="s">
        <v>3</v>
      </c>
      <c r="B11" s="90">
        <v>300</v>
      </c>
      <c r="C11" s="90">
        <v>400</v>
      </c>
      <c r="D11" s="90">
        <v>500</v>
      </c>
      <c r="E11" s="90">
        <v>630</v>
      </c>
      <c r="F11" s="90">
        <v>800</v>
      </c>
      <c r="G11" s="63">
        <v>1000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AB11" s="45"/>
      <c r="AC11" s="52" t="s">
        <v>104</v>
      </c>
      <c r="AD11" s="53"/>
      <c r="AE11" s="54" t="s">
        <v>107</v>
      </c>
      <c r="AF11" s="54"/>
      <c r="AG11" s="54"/>
      <c r="AH11" s="54"/>
      <c r="AI11" s="53"/>
    </row>
    <row r="12" spans="1:42" ht="15.75" thickTop="1">
      <c r="A12" s="143">
        <v>110</v>
      </c>
      <c r="B12" s="88">
        <v>0.1</v>
      </c>
      <c r="C12" s="90">
        <v>7.8799999999999995E-2</v>
      </c>
      <c r="D12" s="90">
        <v>6.0499999999999998E-2</v>
      </c>
      <c r="E12" s="90">
        <v>4.6899999999999997E-2</v>
      </c>
      <c r="F12" s="90">
        <v>3.6700000000000003E-2</v>
      </c>
      <c r="G12" s="63" t="s">
        <v>157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AB12" s="45"/>
      <c r="AC12" s="47" t="s">
        <v>105</v>
      </c>
      <c r="AD12" s="48" t="s">
        <v>106</v>
      </c>
      <c r="AE12" s="49" t="s">
        <v>105</v>
      </c>
      <c r="AF12" s="49" t="s">
        <v>106</v>
      </c>
      <c r="AG12" s="49" t="s">
        <v>108</v>
      </c>
      <c r="AH12" s="49" t="s">
        <v>109</v>
      </c>
      <c r="AI12" s="48" t="s">
        <v>110</v>
      </c>
    </row>
    <row r="13" spans="1:42" ht="18.75" thickBot="1">
      <c r="A13" s="144">
        <v>30</v>
      </c>
      <c r="B13" s="91">
        <v>0.1</v>
      </c>
      <c r="C13" s="92">
        <v>7.7799999999999994E-2</v>
      </c>
      <c r="D13" s="92">
        <v>6.0499999999999998E-2</v>
      </c>
      <c r="E13" s="92">
        <v>4.6899999999999997E-2</v>
      </c>
      <c r="F13" s="92">
        <v>3.6700000000000003E-2</v>
      </c>
      <c r="G13" s="93">
        <v>2.9100000000000001E-2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AB13" s="20" t="s">
        <v>4</v>
      </c>
      <c r="AC13" s="45">
        <v>0.10100000000000001</v>
      </c>
      <c r="AD13" s="46"/>
      <c r="AG13">
        <v>6.3E-2</v>
      </c>
      <c r="AH13">
        <v>5.0999999999999997E-2</v>
      </c>
      <c r="AI13" s="46">
        <v>4.2000000000000003E-2</v>
      </c>
    </row>
    <row r="14" spans="1:42" ht="19.5" thickTop="1" thickBot="1">
      <c r="A14" s="140" t="s">
        <v>0</v>
      </c>
      <c r="B14" s="90">
        <v>300</v>
      </c>
      <c r="C14" s="90">
        <v>400</v>
      </c>
      <c r="D14" s="90">
        <v>500</v>
      </c>
      <c r="E14" s="90">
        <v>630</v>
      </c>
      <c r="F14" s="90">
        <v>800</v>
      </c>
      <c r="G14" s="63">
        <v>1000</v>
      </c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AB14" s="20" t="s">
        <v>3</v>
      </c>
      <c r="AC14" s="45">
        <v>7.8799999999999995E-2</v>
      </c>
      <c r="AD14" s="46"/>
      <c r="AG14">
        <v>4.6899999999999997E-2</v>
      </c>
      <c r="AH14">
        <v>3.6700000000000003E-2</v>
      </c>
      <c r="AI14" s="46">
        <v>2.9100000000000001E-2</v>
      </c>
    </row>
    <row r="15" spans="1:42" ht="15.75" thickTop="1">
      <c r="A15" s="143">
        <v>110</v>
      </c>
      <c r="B15" s="88">
        <v>0.43</v>
      </c>
      <c r="C15" s="90">
        <v>0.41</v>
      </c>
      <c r="D15" s="90">
        <v>0.4</v>
      </c>
      <c r="E15" s="90">
        <v>0.38</v>
      </c>
      <c r="F15" s="90">
        <v>0.36</v>
      </c>
      <c r="G15" s="63" t="s">
        <v>157</v>
      </c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AB15" s="20" t="s">
        <v>0</v>
      </c>
      <c r="AC15" s="45">
        <v>0.43</v>
      </c>
      <c r="AD15" s="46"/>
      <c r="AG15">
        <v>0.31</v>
      </c>
      <c r="AH15">
        <v>0.3</v>
      </c>
      <c r="AI15" s="46">
        <v>0.3</v>
      </c>
    </row>
    <row r="16" spans="1:42" ht="15.75" thickBot="1">
      <c r="A16" s="144">
        <v>30</v>
      </c>
      <c r="B16" s="91">
        <v>0.37</v>
      </c>
      <c r="C16" s="92">
        <v>0.35699999999999998</v>
      </c>
      <c r="D16" s="92">
        <v>0.34</v>
      </c>
      <c r="E16" s="92">
        <v>0.31</v>
      </c>
      <c r="F16" s="92">
        <v>0.3</v>
      </c>
      <c r="G16" s="93">
        <v>0.3</v>
      </c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AB16" s="20" t="s">
        <v>1</v>
      </c>
      <c r="AC16" s="45">
        <v>0.151</v>
      </c>
      <c r="AD16" s="46"/>
      <c r="AG16">
        <v>0.33</v>
      </c>
      <c r="AH16">
        <v>0.36</v>
      </c>
      <c r="AI16" s="46">
        <v>0.39</v>
      </c>
    </row>
    <row r="17" spans="1:35" ht="19.5" thickTop="1" thickBot="1">
      <c r="A17" s="140" t="s">
        <v>1</v>
      </c>
      <c r="B17" s="90">
        <v>300</v>
      </c>
      <c r="C17" s="90">
        <v>400</v>
      </c>
      <c r="D17" s="90">
        <v>500</v>
      </c>
      <c r="E17" s="90">
        <v>630</v>
      </c>
      <c r="F17" s="90">
        <v>800</v>
      </c>
      <c r="G17" s="63">
        <v>1000</v>
      </c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AB17" s="40" t="s">
        <v>11</v>
      </c>
      <c r="AC17" s="51">
        <v>73</v>
      </c>
      <c r="AD17" s="50"/>
      <c r="AE17" s="55"/>
      <c r="AF17" s="55"/>
      <c r="AG17" s="55">
        <v>56</v>
      </c>
      <c r="AH17" s="55">
        <v>61</v>
      </c>
      <c r="AI17" s="50">
        <v>67</v>
      </c>
    </row>
    <row r="18" spans="1:35" ht="15.75" thickTop="1">
      <c r="A18" s="143">
        <v>110</v>
      </c>
      <c r="B18" s="88">
        <v>0.13900000000000001</v>
      </c>
      <c r="C18" s="90">
        <v>0.151</v>
      </c>
      <c r="D18" s="90">
        <v>0.16300000000000001</v>
      </c>
      <c r="E18" s="90">
        <v>0.17699999999999999</v>
      </c>
      <c r="F18" s="90">
        <v>0.21099999999999999</v>
      </c>
      <c r="G18" s="63" t="s">
        <v>157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35" ht="15.75" thickBot="1">
      <c r="A19" s="144">
        <v>30</v>
      </c>
      <c r="B19" s="91">
        <v>0.24099999999999999</v>
      </c>
      <c r="C19" s="92">
        <v>0.26400000000000001</v>
      </c>
      <c r="D19" s="92">
        <v>0.28999999999999998</v>
      </c>
      <c r="E19" s="92">
        <v>0.33</v>
      </c>
      <c r="F19" s="92">
        <v>0.36</v>
      </c>
      <c r="G19" s="93">
        <v>0.39</v>
      </c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35" ht="19.5" thickTop="1" thickBot="1">
      <c r="A20" s="140" t="s">
        <v>11</v>
      </c>
      <c r="B20" s="145">
        <v>300</v>
      </c>
      <c r="C20" s="141">
        <v>400</v>
      </c>
      <c r="D20" s="141">
        <v>500</v>
      </c>
      <c r="E20" s="141">
        <v>630</v>
      </c>
      <c r="F20" s="141">
        <v>800</v>
      </c>
      <c r="G20" s="142">
        <v>1000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Z20" s="57" t="s">
        <v>4</v>
      </c>
      <c r="AA20" s="57" t="s">
        <v>3</v>
      </c>
      <c r="AB20" s="57" t="s">
        <v>0</v>
      </c>
      <c r="AC20" s="57" t="s">
        <v>1</v>
      </c>
      <c r="AD20" s="57" t="s">
        <v>11</v>
      </c>
    </row>
    <row r="21" spans="1:35" ht="15.75" thickTop="1">
      <c r="A21" s="143">
        <v>110</v>
      </c>
      <c r="B21" s="94">
        <v>70</v>
      </c>
      <c r="C21" s="94">
        <v>73</v>
      </c>
      <c r="D21" s="94">
        <v>77</v>
      </c>
      <c r="E21" s="94">
        <v>81</v>
      </c>
      <c r="F21" s="94">
        <v>81</v>
      </c>
      <c r="G21" s="64" t="s">
        <v>157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35" ht="15.75" thickBot="1">
      <c r="A22" s="144">
        <v>30</v>
      </c>
      <c r="B22" s="92">
        <v>46</v>
      </c>
      <c r="C22" s="92">
        <v>49</v>
      </c>
      <c r="D22" s="92">
        <v>52</v>
      </c>
      <c r="E22" s="92">
        <v>56</v>
      </c>
      <c r="F22" s="92">
        <v>61</v>
      </c>
      <c r="G22" s="93">
        <v>67</v>
      </c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35" ht="16.5" thickTop="1" thickBot="1">
      <c r="A23" s="140" t="s">
        <v>156</v>
      </c>
      <c r="B23" s="141">
        <v>300</v>
      </c>
      <c r="C23" s="141">
        <v>400</v>
      </c>
      <c r="D23" s="141">
        <v>500</v>
      </c>
      <c r="E23" s="141">
        <v>630</v>
      </c>
      <c r="F23" s="141">
        <v>800</v>
      </c>
      <c r="G23" s="142">
        <v>1000</v>
      </c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35" ht="15.75" thickTop="1">
      <c r="A24" s="146">
        <v>110</v>
      </c>
      <c r="B24" s="94">
        <v>28.12</v>
      </c>
      <c r="C24" s="94">
        <v>31.93</v>
      </c>
      <c r="D24" s="94">
        <v>35.380000000000003</v>
      </c>
      <c r="E24" s="94">
        <v>38.840000000000003</v>
      </c>
      <c r="F24" s="94" t="s">
        <v>157</v>
      </c>
      <c r="G24" s="64" t="s">
        <v>157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35" ht="15.75" thickBot="1">
      <c r="A25" s="144">
        <v>30</v>
      </c>
      <c r="B25" s="92">
        <v>7.92</v>
      </c>
      <c r="C25" s="92">
        <v>10.63</v>
      </c>
      <c r="D25" s="92">
        <v>11.88</v>
      </c>
      <c r="E25" s="92">
        <v>13.14</v>
      </c>
      <c r="F25" s="92">
        <v>16.88</v>
      </c>
      <c r="G25" s="93" t="s">
        <v>157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35" ht="15.75" thickTop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1:3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35" ht="15.75" thickBo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35" ht="15.75" thickTop="1">
      <c r="A29" s="31" t="s">
        <v>179</v>
      </c>
      <c r="B29" s="32"/>
      <c r="C29" s="32"/>
      <c r="D29" s="33"/>
      <c r="E29" s="36"/>
      <c r="F29" s="31" t="s">
        <v>180</v>
      </c>
      <c r="G29" s="32"/>
      <c r="H29" s="32"/>
      <c r="I29" s="33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35" ht="15.75" thickBot="1">
      <c r="A30" s="37"/>
      <c r="B30" s="23"/>
      <c r="C30" s="23"/>
      <c r="D30" s="38"/>
      <c r="E30" s="36"/>
      <c r="F30" s="37"/>
      <c r="G30" s="23"/>
      <c r="H30" s="23"/>
      <c r="I30" s="38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35" ht="18.75" thickTop="1">
      <c r="A31" s="147" t="s">
        <v>158</v>
      </c>
      <c r="B31" s="148">
        <v>40</v>
      </c>
      <c r="C31" s="22" t="s">
        <v>99</v>
      </c>
      <c r="D31" s="35"/>
      <c r="E31" s="36"/>
      <c r="F31" s="147" t="s">
        <v>158</v>
      </c>
      <c r="G31" s="148">
        <v>100</v>
      </c>
      <c r="H31" s="22" t="s">
        <v>99</v>
      </c>
      <c r="I31" s="35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35">
      <c r="A32" s="147" t="s">
        <v>147</v>
      </c>
      <c r="B32" s="149" t="s">
        <v>148</v>
      </c>
      <c r="C32" s="22" t="s">
        <v>101</v>
      </c>
      <c r="D32" s="35"/>
      <c r="E32" s="36"/>
      <c r="F32" s="147" t="s">
        <v>147</v>
      </c>
      <c r="G32" s="149" t="s">
        <v>148</v>
      </c>
      <c r="H32" s="22" t="s">
        <v>101</v>
      </c>
      <c r="I32" s="35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ht="18">
      <c r="A33" s="147" t="s">
        <v>159</v>
      </c>
      <c r="B33" s="149">
        <v>15.87</v>
      </c>
      <c r="C33" s="22" t="s">
        <v>48</v>
      </c>
      <c r="D33" s="35"/>
      <c r="E33" s="36"/>
      <c r="F33" s="147" t="s">
        <v>159</v>
      </c>
      <c r="G33" s="149">
        <v>12</v>
      </c>
      <c r="H33" s="22" t="s">
        <v>48</v>
      </c>
      <c r="I33" s="35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ht="18.75" thickBot="1">
      <c r="A34" s="91" t="s">
        <v>160</v>
      </c>
      <c r="B34" s="150">
        <v>4</v>
      </c>
      <c r="C34" s="23" t="s">
        <v>48</v>
      </c>
      <c r="D34" s="38"/>
      <c r="E34" s="36"/>
      <c r="F34" s="91" t="s">
        <v>160</v>
      </c>
      <c r="G34" s="150">
        <v>4</v>
      </c>
      <c r="H34" s="23" t="s">
        <v>48</v>
      </c>
      <c r="I34" s="38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5.75" thickTop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0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:20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0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0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0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1:20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1:20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0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  <row r="53" spans="1:20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</sheetData>
  <sheetProtection password="EE37" sheet="1" objects="1" scenarios="1"/>
  <conditionalFormatting sqref="B9:G10">
    <cfRule type="cellIs" dxfId="7" priority="7" operator="equal">
      <formula>$A$5</formula>
    </cfRule>
  </conditionalFormatting>
  <conditionalFormatting sqref="B12:G13">
    <cfRule type="cellIs" dxfId="6" priority="6" operator="equal">
      <formula>$B$5</formula>
    </cfRule>
  </conditionalFormatting>
  <conditionalFormatting sqref="B15:G16">
    <cfRule type="cellIs" dxfId="5" priority="5" operator="equal">
      <formula>$C$5</formula>
    </cfRule>
  </conditionalFormatting>
  <conditionalFormatting sqref="B18:G19">
    <cfRule type="cellIs" dxfId="4" priority="4" operator="equal">
      <formula>$D$5</formula>
    </cfRule>
  </conditionalFormatting>
  <conditionalFormatting sqref="B21:G22">
    <cfRule type="cellIs" dxfId="3" priority="3" operator="equal">
      <formula>$E$5</formula>
    </cfRule>
  </conditionalFormatting>
  <conditionalFormatting sqref="B24:G25">
    <cfRule type="cellIs" dxfId="2" priority="2" operator="equal">
      <formula>"F5"</formula>
    </cfRule>
    <cfRule type="cellIs" dxfId="1" priority="1" operator="equal">
      <formula>$F$5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Eingaben</vt:lpstr>
      <vt:lpstr>Formeln</vt:lpstr>
      <vt:lpstr>Kabeldaten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2013-03-02T12:06:42Z</dcterms:modified>
</cp:coreProperties>
</file>