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Kalkulation" sheetId="4" r:id="rId1"/>
  </sheets>
  <calcPr calcId="125725" iterate="1"/>
</workbook>
</file>

<file path=xl/calcChain.xml><?xml version="1.0" encoding="utf-8"?>
<calcChain xmlns="http://schemas.openxmlformats.org/spreadsheetml/2006/main">
  <c r="F97" i="4"/>
  <c r="F59" l="1"/>
  <c r="N156" l="1"/>
  <c r="M156"/>
  <c r="L156"/>
  <c r="N153"/>
  <c r="L153"/>
  <c r="M153" s="1"/>
  <c r="N152"/>
  <c r="L152"/>
  <c r="M152" s="1"/>
  <c r="N151"/>
  <c r="L151"/>
  <c r="M151" s="1"/>
  <c r="N150"/>
  <c r="L150"/>
  <c r="M150" s="1"/>
  <c r="N142"/>
  <c r="L142"/>
  <c r="M142" s="1"/>
  <c r="N141"/>
  <c r="L141"/>
  <c r="M141" s="1"/>
  <c r="M144" s="1"/>
  <c r="N137"/>
  <c r="L137"/>
  <c r="M137" s="1"/>
  <c r="N136"/>
  <c r="L136"/>
  <c r="M136" s="1"/>
  <c r="N132"/>
  <c r="L132"/>
  <c r="N131"/>
  <c r="L131"/>
  <c r="M132" s="1"/>
  <c r="M134" s="1"/>
  <c r="N127"/>
  <c r="M127"/>
  <c r="L127"/>
  <c r="N125"/>
  <c r="L125"/>
  <c r="M125" s="1"/>
  <c r="N120"/>
  <c r="L120"/>
  <c r="M120" s="1"/>
  <c r="N117"/>
  <c r="L117"/>
  <c r="M117" s="1"/>
  <c r="N113"/>
  <c r="L113"/>
  <c r="M113" s="1"/>
  <c r="N109"/>
  <c r="L109"/>
  <c r="M109" s="1"/>
  <c r="N106"/>
  <c r="M106"/>
  <c r="L106"/>
  <c r="N103"/>
  <c r="L103"/>
  <c r="M103" s="1"/>
  <c r="F102"/>
  <c r="N102" s="1"/>
  <c r="N101"/>
  <c r="L101"/>
  <c r="M101" s="1"/>
  <c r="F98"/>
  <c r="N98" s="1"/>
  <c r="N97"/>
  <c r="L97"/>
  <c r="M97" s="1"/>
  <c r="N95"/>
  <c r="L95"/>
  <c r="M95" s="1"/>
  <c r="N92"/>
  <c r="L92"/>
  <c r="N91"/>
  <c r="M92" s="1"/>
  <c r="L91"/>
  <c r="N88"/>
  <c r="L88"/>
  <c r="M88" s="1"/>
  <c r="F88"/>
  <c r="N87"/>
  <c r="L87"/>
  <c r="M87" s="1"/>
  <c r="N86"/>
  <c r="M86"/>
  <c r="L86"/>
  <c r="N85"/>
  <c r="L85"/>
  <c r="M85" s="1"/>
  <c r="F85"/>
  <c r="F89" s="1"/>
  <c r="N81"/>
  <c r="L81"/>
  <c r="M81" s="1"/>
  <c r="N80"/>
  <c r="L80"/>
  <c r="M80" s="1"/>
  <c r="N79"/>
  <c r="L79"/>
  <c r="M79" s="1"/>
  <c r="N78"/>
  <c r="L78"/>
  <c r="M78" s="1"/>
  <c r="N77"/>
  <c r="L77"/>
  <c r="M77" s="1"/>
  <c r="F71"/>
  <c r="N71" s="1"/>
  <c r="F70"/>
  <c r="N70" s="1"/>
  <c r="F68"/>
  <c r="N68" s="1"/>
  <c r="N65"/>
  <c r="L65"/>
  <c r="M65" s="1"/>
  <c r="F62"/>
  <c r="N62" s="1"/>
  <c r="N60"/>
  <c r="L60"/>
  <c r="M60" s="1"/>
  <c r="N59"/>
  <c r="L57"/>
  <c r="M57" s="1"/>
  <c r="N52"/>
  <c r="M52" s="1"/>
  <c r="L52"/>
  <c r="N48"/>
  <c r="M48"/>
  <c r="L48"/>
  <c r="N44"/>
  <c r="L44"/>
  <c r="N43"/>
  <c r="L43"/>
  <c r="M44" s="1"/>
  <c r="N39"/>
  <c r="M39"/>
  <c r="L39"/>
  <c r="N36"/>
  <c r="L36"/>
  <c r="M36" s="1"/>
  <c r="N32"/>
  <c r="M32"/>
  <c r="L32"/>
  <c r="N29"/>
  <c r="L29"/>
  <c r="M29" s="1"/>
  <c r="N25"/>
  <c r="M25"/>
  <c r="L25"/>
  <c r="N22"/>
  <c r="L22"/>
  <c r="M22" s="1"/>
  <c r="N18"/>
  <c r="M18"/>
  <c r="L18"/>
  <c r="N14"/>
  <c r="L14"/>
  <c r="M14" s="1"/>
  <c r="N11"/>
  <c r="M11"/>
  <c r="L11"/>
  <c r="L9"/>
  <c r="L8"/>
  <c r="L7"/>
  <c r="L6"/>
  <c r="L5"/>
  <c r="M9" s="1"/>
  <c r="L98" l="1"/>
  <c r="M98" s="1"/>
  <c r="M154"/>
  <c r="M139"/>
  <c r="L102"/>
  <c r="M102" s="1"/>
  <c r="M104" s="1"/>
  <c r="L59"/>
  <c r="M59" s="1"/>
  <c r="N57"/>
  <c r="N9"/>
  <c r="N89"/>
  <c r="L89"/>
  <c r="M89" s="1"/>
  <c r="M93" s="1"/>
  <c r="M82"/>
  <c r="M99"/>
  <c r="F74"/>
  <c r="L62"/>
  <c r="M62" s="1"/>
  <c r="L68"/>
  <c r="M68" s="1"/>
  <c r="L70"/>
  <c r="M70" s="1"/>
  <c r="L71"/>
  <c r="M71" s="1"/>
  <c r="N74" l="1"/>
  <c r="N159" s="1"/>
  <c r="L74"/>
  <c r="M74" s="1"/>
  <c r="M75" s="1"/>
  <c r="M63"/>
  <c r="L159" l="1"/>
  <c r="M159"/>
</calcChain>
</file>

<file path=xl/comments1.xml><?xml version="1.0" encoding="utf-8"?>
<comments xmlns="http://schemas.openxmlformats.org/spreadsheetml/2006/main">
  <authors>
    <author>Autor</author>
  </authors>
  <commentList>
    <comment ref="H11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4x 500 €</t>
        </r>
      </text>
    </comment>
    <comment ref="H36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pro km ca. 2h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4x 400mm²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Pflug muss 3 Systeme einflügen
3* 5000m Systemlänge</t>
        </r>
      </text>
    </comment>
    <comment ref="J78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für 630mm²</t>
        </r>
      </text>
    </comment>
    <comment ref="F7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Prüfen, wegen 4 Systeme</t>
        </r>
      </text>
    </comment>
    <comment ref="H87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3 min pro Meter
10 Meter Einführung =30 Min pro Einführung*20 Stk.; 600/60= 10h*48,6€; 486/20=23,4</t>
        </r>
      </text>
    </comment>
    <comment ref="M8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mit Muffenloch+ Kalibrieren+ einblasen+ LWL-Kabel =389€</t>
        </r>
      </text>
    </comment>
    <comment ref="M97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mit Erdarbeiten und Material 497€</t>
        </r>
      </text>
    </comment>
    <comment ref="F98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20km/800m Kabelrolle</t>
        </r>
      </text>
    </comment>
    <comment ref="M106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mit Sand liefern und einbauen, sowie Oberflächen wieder herstellen, 79,31€</t>
        </r>
      </text>
    </comment>
    <comment ref="F109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pro Grube 3m³</t>
        </r>
      </text>
    </comment>
  </commentList>
</comments>
</file>

<file path=xl/sharedStrings.xml><?xml version="1.0" encoding="utf-8"?>
<sst xmlns="http://schemas.openxmlformats.org/spreadsheetml/2006/main" count="428" uniqueCount="216">
  <si>
    <t>Baustelleneinrichtung und Prüfung</t>
  </si>
  <si>
    <t>Pos.Nr.</t>
  </si>
  <si>
    <t>Position</t>
  </si>
  <si>
    <t>Bereich</t>
  </si>
  <si>
    <t>Zweck</t>
  </si>
  <si>
    <t>Angebotstext/Formulierung</t>
  </si>
  <si>
    <t>Anzahl</t>
  </si>
  <si>
    <t>Einheit</t>
  </si>
  <si>
    <t>Preis</t>
  </si>
  <si>
    <t>Material</t>
  </si>
  <si>
    <t>ea.R (Erwerb)</t>
  </si>
  <si>
    <t>Preis Auflistung</t>
  </si>
  <si>
    <t>E-Preis</t>
  </si>
  <si>
    <t>Preis Auflistung mit Eventualposition</t>
  </si>
  <si>
    <t>(1.10)</t>
  </si>
  <si>
    <t>Baustelleneinrichtung</t>
  </si>
  <si>
    <t>TB</t>
  </si>
  <si>
    <t>Aufbau</t>
  </si>
  <si>
    <t>psch.</t>
  </si>
  <si>
    <t>€</t>
  </si>
  <si>
    <t>Vorhaltung</t>
  </si>
  <si>
    <t>Wochen</t>
  </si>
  <si>
    <t>Abbau</t>
  </si>
  <si>
    <t>SUB</t>
  </si>
  <si>
    <t>Anfahrt Bohrer</t>
  </si>
  <si>
    <t>Anfahrt Pflug</t>
  </si>
  <si>
    <t>(1.20)</t>
  </si>
  <si>
    <t>Verkehrssicherung</t>
  </si>
  <si>
    <t>Eventualposition</t>
  </si>
  <si>
    <t>(1.30)</t>
  </si>
  <si>
    <t>Beantragung</t>
  </si>
  <si>
    <t>ea.R</t>
  </si>
  <si>
    <t>Schachtscheine</t>
  </si>
  <si>
    <t>(1.40)</t>
  </si>
  <si>
    <t>Beweissicherung</t>
  </si>
  <si>
    <t>Fotodokumentation</t>
  </si>
  <si>
    <t>(1.50)</t>
  </si>
  <si>
    <t>Einholen der ALK-Daten</t>
  </si>
  <si>
    <t xml:space="preserve">Einholen der ALK-Daten beim Amt für </t>
  </si>
  <si>
    <t>Liegenschaften</t>
  </si>
  <si>
    <t>(1.60)</t>
  </si>
  <si>
    <t>Kabeltrasse einmessen</t>
  </si>
  <si>
    <t>Einmessen der verlegten Kabeltrasse, mit Anfertigen</t>
  </si>
  <si>
    <t>lfm</t>
  </si>
  <si>
    <t>€/m</t>
  </si>
  <si>
    <t>der Pläne in den Formaten .dwg und .dwf</t>
  </si>
  <si>
    <t>sowie Bereitstellung in Papierform</t>
  </si>
  <si>
    <t>(1.70)</t>
  </si>
  <si>
    <t>Kabeltrasse auspflocken</t>
  </si>
  <si>
    <t>Grenzfeststellung und Ausflocken der Kabeltrasse</t>
  </si>
  <si>
    <t>(1.80)</t>
  </si>
  <si>
    <t>Abnahme der Leistungen</t>
  </si>
  <si>
    <t>Koordination und Abnahem mit den öffentlichen</t>
  </si>
  <si>
    <t>vor Ort</t>
  </si>
  <si>
    <t>Trägern und Verbänden vor Ort, mit Begehung</t>
  </si>
  <si>
    <t>(1.90)</t>
  </si>
  <si>
    <t>Dokumentation</t>
  </si>
  <si>
    <t>Dokumentation der Arbeitsleistung auf Nachweis</t>
  </si>
  <si>
    <t>(1.100)</t>
  </si>
  <si>
    <t xml:space="preserve">Koordination </t>
  </si>
  <si>
    <t>Koordination der Verständigung mit den Grund-</t>
  </si>
  <si>
    <t>Grundstückseigentumer</t>
  </si>
  <si>
    <t>stückeigentümer, Abnahme mit den Grundstücks-</t>
  </si>
  <si>
    <t>eigentümer</t>
  </si>
  <si>
    <t>(1.110)</t>
  </si>
  <si>
    <t xml:space="preserve">Einbringen </t>
  </si>
  <si>
    <t>Messung, und Protokollierung</t>
  </si>
  <si>
    <t>h</t>
  </si>
  <si>
    <t>€/h</t>
  </si>
  <si>
    <t>Verdichtungsnachweise</t>
  </si>
  <si>
    <t>MAT</t>
  </si>
  <si>
    <t>Nachweis</t>
  </si>
  <si>
    <t>der Verdichtung als Nachweis</t>
  </si>
  <si>
    <t>Stk.</t>
  </si>
  <si>
    <t>(Protokoll)</t>
  </si>
  <si>
    <t>(1.120)</t>
  </si>
  <si>
    <t>Molchen/Kalibrieren</t>
  </si>
  <si>
    <t xml:space="preserve">Kalibrieren und Molchen des PE HD 50x 0,4mm </t>
  </si>
  <si>
    <t>LWL-Rohres</t>
  </si>
  <si>
    <t>m</t>
  </si>
  <si>
    <t>(1.130)</t>
  </si>
  <si>
    <t>Prüfung</t>
  </si>
  <si>
    <t>MS-Kabel Mantelprüfung</t>
  </si>
  <si>
    <t>Tage</t>
  </si>
  <si>
    <t>€/Tag</t>
  </si>
  <si>
    <t>MS-Kabel VLF-Prüfung</t>
  </si>
  <si>
    <t>(2.10)</t>
  </si>
  <si>
    <t>Pflug</t>
  </si>
  <si>
    <t>Kabellieferung</t>
  </si>
  <si>
    <t>Lieferung</t>
  </si>
  <si>
    <t>sowie Lieferung des Warnbandes.</t>
  </si>
  <si>
    <t>Einpflügen</t>
  </si>
  <si>
    <t>mit Bodenklasse 3-5</t>
  </si>
  <si>
    <t>incl. Verlegung des Warnbandes</t>
  </si>
  <si>
    <t>€/Stk.</t>
  </si>
  <si>
    <t>(2.20)</t>
  </si>
  <si>
    <t>Verlegung</t>
  </si>
  <si>
    <t>Grabenherstellung</t>
  </si>
  <si>
    <t>durchgeführt in Maschinenschachtung mit</t>
  </si>
  <si>
    <t>eingeschränktem Arbeitsstreifen bis 4,0 m</t>
  </si>
  <si>
    <t>(2.30)</t>
  </si>
  <si>
    <t xml:space="preserve">Gesteuerte </t>
  </si>
  <si>
    <t>Einzelbohrung, Abstand mind. 1 m</t>
  </si>
  <si>
    <t>PE HD DN 50x4,6</t>
  </si>
  <si>
    <t>Horizontalbohrung</t>
  </si>
  <si>
    <t>Bodenklasse 3-5 mit</t>
  </si>
  <si>
    <t>Grubenherstellung</t>
  </si>
  <si>
    <t>Herstellen der Dükergruben</t>
  </si>
  <si>
    <t>und Lieferung des Materials</t>
  </si>
  <si>
    <t>zur Bereitstellung zum Einzug</t>
  </si>
  <si>
    <t>(2.40)</t>
  </si>
  <si>
    <t>A-DQ(ZN)B2Y 12E9/125</t>
  </si>
  <si>
    <t>Muffenkörper</t>
  </si>
  <si>
    <t>Lieferung der Muffe und</t>
  </si>
  <si>
    <t>Spleißbox</t>
  </si>
  <si>
    <t>Spleißbox sowie Muffenkörper,</t>
  </si>
  <si>
    <t>MONT</t>
  </si>
  <si>
    <t>Einführung</t>
  </si>
  <si>
    <t>Einführunf LWL in UW/Windkraftanlage</t>
  </si>
  <si>
    <t>Einblasen des LWL-Kabels mit</t>
  </si>
  <si>
    <t>Muffen</t>
  </si>
  <si>
    <t>Montage von Verbindungsmuffen LWL Singelmode</t>
  </si>
  <si>
    <t>Spleißen LWL</t>
  </si>
  <si>
    <t>12 Fasern montieren und Spleißen, ohne Erdarbeiten</t>
  </si>
  <si>
    <t>OTDR</t>
  </si>
  <si>
    <t>Prüfung der verlegten LWL Kabel</t>
  </si>
  <si>
    <t>pro Ader</t>
  </si>
  <si>
    <t>mit Messprotokoll</t>
  </si>
  <si>
    <t>(2.50)</t>
  </si>
  <si>
    <t>Montage Muffen</t>
  </si>
  <si>
    <t>Satz</t>
  </si>
  <si>
    <t>€/Satz</t>
  </si>
  <si>
    <t>montieren der Muffen</t>
  </si>
  <si>
    <t>Herstellen Muffengr.</t>
  </si>
  <si>
    <t>Herstellen Muffengruben, 2x 3m Maschinenschachtung</t>
  </si>
  <si>
    <t>(2.60)</t>
  </si>
  <si>
    <t>Montage Stecker</t>
  </si>
  <si>
    <t>Stecker CB/CC</t>
  </si>
  <si>
    <t>Kabelstecker</t>
  </si>
  <si>
    <t>Einführen MS-Kabel</t>
  </si>
  <si>
    <t>(2.70)</t>
  </si>
  <si>
    <t>Handschachtung</t>
  </si>
  <si>
    <t>m³</t>
  </si>
  <si>
    <t>€/m³</t>
  </si>
  <si>
    <t>(2.80)</t>
  </si>
  <si>
    <t>Baugruben</t>
  </si>
  <si>
    <t>(2.90)</t>
  </si>
  <si>
    <t>Suchschachtung als</t>
  </si>
  <si>
    <t>Suchschachtung</t>
  </si>
  <si>
    <t>Suchschachtung an Kabelkreuzungen/Rohrkreuzungen</t>
  </si>
  <si>
    <t>durchführen, Suchgraben 1,2x 0,4x 4m</t>
  </si>
  <si>
    <t xml:space="preserve"> (2.100)</t>
  </si>
  <si>
    <t xml:space="preserve">Kreuzung </t>
  </si>
  <si>
    <t>Gruben für Kreuzung herstellen</t>
  </si>
  <si>
    <t>Versorgungsleitung</t>
  </si>
  <si>
    <t xml:space="preserve"> (2.110)</t>
  </si>
  <si>
    <t>Wiederherstellung von Drainagen</t>
  </si>
  <si>
    <t>Drainageleitung</t>
  </si>
  <si>
    <t>24 Stk.</t>
  </si>
  <si>
    <t>(2.120)</t>
  </si>
  <si>
    <t>Oberflächen</t>
  </si>
  <si>
    <t xml:space="preserve">Herstellen der Oberfläche und Seitenstreifen </t>
  </si>
  <si>
    <t>Grün</t>
  </si>
  <si>
    <t>Herstellen</t>
  </si>
  <si>
    <t>Material, 50m²</t>
  </si>
  <si>
    <t>m²</t>
  </si>
  <si>
    <t>€/m²</t>
  </si>
  <si>
    <t>(2.130)</t>
  </si>
  <si>
    <t>Aufschachten etc.</t>
  </si>
  <si>
    <t>Aufschachten, Kabelverlegung</t>
  </si>
  <si>
    <t>Feldeinfahrten</t>
  </si>
  <si>
    <t xml:space="preserve"> Sand liefern und einflüllen, Oberflächen </t>
  </si>
  <si>
    <t>wiederherstellen, psch.</t>
  </si>
  <si>
    <t>(2.140)</t>
  </si>
  <si>
    <t>Steinfreier Sand</t>
  </si>
  <si>
    <t>Verfüllen, des Sandes</t>
  </si>
  <si>
    <t>Liefern und Einbringen des</t>
  </si>
  <si>
    <t>Arbeitskraft</t>
  </si>
  <si>
    <t>Sandes, Bodenklasse 1-5</t>
  </si>
  <si>
    <t>t</t>
  </si>
  <si>
    <t>€/t</t>
  </si>
  <si>
    <t>(2.150)</t>
  </si>
  <si>
    <t>Boden</t>
  </si>
  <si>
    <t>Abfahren</t>
  </si>
  <si>
    <t>Aufnahme, Abfahrt und</t>
  </si>
  <si>
    <t>(2.200)</t>
  </si>
  <si>
    <t>Entsorgen</t>
  </si>
  <si>
    <t>Entsorgung des Bodens der</t>
  </si>
  <si>
    <t>durch das Einbringen des Sandes entsteht</t>
  </si>
  <si>
    <t>(2.160)</t>
  </si>
  <si>
    <t>Füllboden</t>
  </si>
  <si>
    <t>liefern</t>
  </si>
  <si>
    <t>einbauen</t>
  </si>
  <si>
    <t>Füllbodens, Bodenklasse 1-5</t>
  </si>
  <si>
    <t>(3.10)</t>
  </si>
  <si>
    <t>GPD</t>
  </si>
  <si>
    <t>Standard</t>
  </si>
  <si>
    <t>Blind</t>
  </si>
  <si>
    <t>HSI</t>
  </si>
  <si>
    <t xml:space="preserve">(5.250)  </t>
  </si>
  <si>
    <t>Kleinmaterial</t>
  </si>
  <si>
    <t>Berührungssichere Kabelstecker (CB) liefern</t>
  </si>
  <si>
    <t>10 Stk.</t>
  </si>
  <si>
    <t>Baugruben für LWL und Drainagenreparatur</t>
  </si>
  <si>
    <t>Liefern des Einleiterkabel 18/30kV vom</t>
  </si>
  <si>
    <t>Verbindungsmuffe MS-Kabel 30kV</t>
  </si>
  <si>
    <t>MS-Kabel 30kV</t>
  </si>
  <si>
    <t>Typ: NA2XS(F)2Y 1x630rm/35mm²</t>
  </si>
  <si>
    <t>und motieren von  (630rm/35mm²)</t>
  </si>
  <si>
    <t>630mm²/35mm² liefern und</t>
  </si>
  <si>
    <t>Verlegen des gelieferten MS-Kabel</t>
  </si>
  <si>
    <t>PE HD DN 180x14,6</t>
  </si>
  <si>
    <t>MS bis 630mm² + PE HD DA 50</t>
  </si>
  <si>
    <t>Einflügen MS-System,Tiefe bis 0,90m</t>
  </si>
  <si>
    <t>in einen Kabelgraben 1,20 m x 1,00 m</t>
  </si>
  <si>
    <t>mit Kabeleinführung, pro System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</si>
</sst>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9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9" fontId="0" fillId="0" borderId="0" xfId="0" applyNumberFormat="1" applyBorder="1"/>
    <xf numFmtId="164" fontId="0" fillId="0" borderId="5" xfId="0" applyNumberFormat="1" applyBorder="1"/>
    <xf numFmtId="0" fontId="0" fillId="0" borderId="0" xfId="0" applyFill="1" applyBorder="1"/>
    <xf numFmtId="0" fontId="0" fillId="0" borderId="6" xfId="0" applyBorder="1"/>
    <xf numFmtId="0" fontId="0" fillId="0" borderId="6" xfId="0" applyFill="1" applyBorder="1"/>
    <xf numFmtId="9" fontId="0" fillId="0" borderId="6" xfId="0" applyNumberFormat="1" applyBorder="1"/>
    <xf numFmtId="164" fontId="0" fillId="0" borderId="2" xfId="0" applyNumberFormat="1" applyBorder="1"/>
    <xf numFmtId="0" fontId="0" fillId="0" borderId="2" xfId="0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0" xfId="0" applyNumberFormat="1" applyBorder="1"/>
    <xf numFmtId="49" fontId="0" fillId="0" borderId="1" xfId="0" applyNumberFormat="1" applyBorder="1"/>
    <xf numFmtId="9" fontId="0" fillId="0" borderId="0" xfId="0" applyNumberFormat="1" applyFill="1" applyBorder="1"/>
    <xf numFmtId="49" fontId="0" fillId="0" borderId="6" xfId="0" applyNumberFormat="1" applyBorder="1"/>
    <xf numFmtId="9" fontId="0" fillId="0" borderId="6" xfId="0" applyNumberFormat="1" applyFill="1" applyBorder="1"/>
    <xf numFmtId="0" fontId="0" fillId="2" borderId="2" xfId="0" applyFill="1" applyBorder="1"/>
    <xf numFmtId="49" fontId="0" fillId="0" borderId="9" xfId="0" applyNumberFormat="1" applyBorder="1"/>
    <xf numFmtId="0" fontId="0" fillId="3" borderId="0" xfId="0" applyFill="1" applyBorder="1"/>
    <xf numFmtId="0" fontId="0" fillId="0" borderId="8" xfId="0" applyBorder="1"/>
    <xf numFmtId="9" fontId="0" fillId="0" borderId="8" xfId="0" applyNumberFormat="1" applyBorder="1"/>
    <xf numFmtId="164" fontId="0" fillId="4" borderId="11" xfId="0" applyNumberFormat="1" applyFill="1" applyBorder="1"/>
    <xf numFmtId="164" fontId="0" fillId="0" borderId="12" xfId="0" applyNumberFormat="1" applyBorder="1"/>
    <xf numFmtId="0" fontId="0" fillId="3" borderId="2" xfId="0" applyFill="1" applyBorder="1"/>
    <xf numFmtId="164" fontId="0" fillId="0" borderId="13" xfId="0" applyNumberFormat="1" applyBorder="1"/>
    <xf numFmtId="0" fontId="0" fillId="0" borderId="14" xfId="0" applyBorder="1"/>
    <xf numFmtId="0" fontId="0" fillId="0" borderId="7" xfId="0" applyBorder="1"/>
    <xf numFmtId="164" fontId="0" fillId="4" borderId="15" xfId="0" applyNumberFormat="1" applyFill="1" applyBorder="1"/>
    <xf numFmtId="0" fontId="0" fillId="0" borderId="15" xfId="0" applyBorder="1"/>
    <xf numFmtId="49" fontId="0" fillId="0" borderId="0" xfId="0" applyNumberFormat="1" applyBorder="1"/>
    <xf numFmtId="49" fontId="0" fillId="0" borderId="0" xfId="0" applyNumberFormat="1" applyFill="1" applyBorder="1"/>
    <xf numFmtId="0" fontId="0" fillId="3" borderId="6" xfId="0" applyFill="1" applyBorder="1"/>
    <xf numFmtId="0" fontId="0" fillId="0" borderId="12" xfId="0" applyBorder="1"/>
    <xf numFmtId="0" fontId="0" fillId="0" borderId="4" xfId="0" applyBorder="1"/>
    <xf numFmtId="9" fontId="0" fillId="0" borderId="8" xfId="0" applyNumberFormat="1" applyFill="1" applyBorder="1"/>
    <xf numFmtId="0" fontId="0" fillId="0" borderId="10" xfId="0" applyFill="1" applyBorder="1"/>
    <xf numFmtId="0" fontId="0" fillId="0" borderId="8" xfId="0" applyFill="1" applyBorder="1"/>
    <xf numFmtId="49" fontId="0" fillId="0" borderId="14" xfId="0" applyNumberFormat="1" applyBorder="1"/>
    <xf numFmtId="0" fontId="0" fillId="5" borderId="2" xfId="0" applyFill="1" applyBorder="1"/>
    <xf numFmtId="0" fontId="0" fillId="5" borderId="6" xfId="0" applyFill="1" applyBorder="1"/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Fill="1" applyBorder="1" applyAlignment="1">
      <alignment vertical="top"/>
    </xf>
    <xf numFmtId="164" fontId="0" fillId="0" borderId="11" xfId="0" applyNumberFormat="1" applyBorder="1"/>
    <xf numFmtId="49" fontId="0" fillId="0" borderId="8" xfId="0" applyNumberFormat="1" applyBorder="1"/>
    <xf numFmtId="49" fontId="0" fillId="0" borderId="10" xfId="0" applyNumberFormat="1" applyBorder="1"/>
    <xf numFmtId="164" fontId="1" fillId="6" borderId="0" xfId="0" applyNumberFormat="1" applyFont="1" applyFill="1"/>
  </cellXfs>
  <cellStyles count="1">
    <cellStyle name="Standard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159"/>
  <sheetViews>
    <sheetView tabSelected="1" workbookViewId="0">
      <selection activeCell="H164" sqref="H164"/>
    </sheetView>
  </sheetViews>
  <sheetFormatPr baseColWidth="10" defaultRowHeight="15"/>
  <cols>
    <col min="2" max="2" width="28.28515625" customWidth="1"/>
    <col min="4" max="4" width="18.28515625" customWidth="1"/>
    <col min="5" max="5" width="50" customWidth="1"/>
    <col min="10" max="10" width="19.5703125" customWidth="1"/>
    <col min="12" max="12" width="13.85546875" customWidth="1"/>
    <col min="14" max="14" width="13.140625" bestFit="1" customWidth="1"/>
  </cols>
  <sheetData>
    <row r="2" spans="1:14">
      <c r="A2" t="s">
        <v>0</v>
      </c>
    </row>
    <row r="4" spans="1:14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7</v>
      </c>
      <c r="J4" t="s">
        <v>9</v>
      </c>
      <c r="K4" s="1" t="s">
        <v>10</v>
      </c>
      <c r="L4" t="s">
        <v>11</v>
      </c>
      <c r="M4" t="s">
        <v>12</v>
      </c>
      <c r="N4" t="s">
        <v>13</v>
      </c>
    </row>
    <row r="5" spans="1:14">
      <c r="A5" s="2" t="s">
        <v>14</v>
      </c>
      <c r="B5" s="3" t="s">
        <v>15</v>
      </c>
      <c r="C5" s="3" t="s">
        <v>16</v>
      </c>
      <c r="D5" s="3" t="s">
        <v>17</v>
      </c>
      <c r="E5" s="3"/>
      <c r="F5" s="3">
        <v>1</v>
      </c>
      <c r="G5" s="3" t="s">
        <v>18</v>
      </c>
      <c r="H5" s="3">
        <v>1200</v>
      </c>
      <c r="I5" s="4" t="s">
        <v>19</v>
      </c>
      <c r="J5" s="3"/>
      <c r="K5" s="5"/>
      <c r="L5" s="6">
        <f>($F5*$H5)+($F5*$H5*$K5)</f>
        <v>1200</v>
      </c>
      <c r="M5" s="7"/>
      <c r="N5" s="7"/>
    </row>
    <row r="6" spans="1:14">
      <c r="C6" s="4"/>
      <c r="D6" s="4" t="s">
        <v>20</v>
      </c>
      <c r="E6" s="4"/>
      <c r="F6" s="4">
        <v>8</v>
      </c>
      <c r="G6" s="4" t="s">
        <v>21</v>
      </c>
      <c r="H6" s="4">
        <v>100</v>
      </c>
      <c r="I6" s="4" t="s">
        <v>19</v>
      </c>
      <c r="J6" s="4"/>
      <c r="K6" s="8"/>
      <c r="L6" s="9">
        <f>($F6*$H6)+($F6*$H6*$K6)</f>
        <v>800</v>
      </c>
      <c r="M6" s="9"/>
      <c r="N6" s="9"/>
    </row>
    <row r="7" spans="1:14">
      <c r="B7" s="4"/>
      <c r="C7" s="4"/>
      <c r="D7" s="10" t="s">
        <v>22</v>
      </c>
      <c r="E7" s="10"/>
      <c r="F7" s="4">
        <v>1</v>
      </c>
      <c r="G7" s="4" t="s">
        <v>18</v>
      </c>
      <c r="H7" s="4">
        <v>1200</v>
      </c>
      <c r="I7" s="4" t="s">
        <v>19</v>
      </c>
      <c r="J7" s="4"/>
      <c r="K7" s="8"/>
      <c r="L7" s="9">
        <f>($F7*$H7)+($F7*$H7*$K7)</f>
        <v>1200</v>
      </c>
      <c r="M7" s="9"/>
      <c r="N7" s="9"/>
    </row>
    <row r="8" spans="1:14">
      <c r="B8" s="4"/>
      <c r="C8" s="4" t="s">
        <v>23</v>
      </c>
      <c r="D8" s="10" t="s">
        <v>24</v>
      </c>
      <c r="E8" s="10"/>
      <c r="F8" s="10">
        <v>1</v>
      </c>
      <c r="G8" s="10" t="s">
        <v>18</v>
      </c>
      <c r="H8" s="10">
        <v>850</v>
      </c>
      <c r="I8" s="10" t="s">
        <v>19</v>
      </c>
      <c r="J8" s="4"/>
      <c r="K8" s="8"/>
      <c r="L8" s="9">
        <f>($F8*$H8)+($F8*$H8*$K8)</f>
        <v>850</v>
      </c>
      <c r="M8" s="9"/>
      <c r="N8" s="9"/>
    </row>
    <row r="9" spans="1:14">
      <c r="A9" s="11"/>
      <c r="B9" s="11"/>
      <c r="C9" s="11" t="s">
        <v>23</v>
      </c>
      <c r="D9" s="12" t="s">
        <v>25</v>
      </c>
      <c r="E9" s="12"/>
      <c r="F9" s="11">
        <v>1</v>
      </c>
      <c r="G9" s="11" t="s">
        <v>18</v>
      </c>
      <c r="H9" s="11">
        <v>550</v>
      </c>
      <c r="I9" s="11" t="s">
        <v>19</v>
      </c>
      <c r="J9" s="11"/>
      <c r="K9" s="13"/>
      <c r="L9" s="9">
        <f>($F9*$H9)+($F9*$H9*$K9)</f>
        <v>550</v>
      </c>
      <c r="M9" s="9">
        <f>SUM(L5:L9)</f>
        <v>4600</v>
      </c>
      <c r="N9" s="9">
        <f>SUM(M5:M9)</f>
        <v>4600</v>
      </c>
    </row>
    <row r="10" spans="1:14">
      <c r="B10" s="4"/>
      <c r="C10" s="4"/>
      <c r="D10" s="10"/>
      <c r="E10" s="10"/>
      <c r="F10" s="4"/>
      <c r="G10" s="4"/>
      <c r="H10" s="4"/>
      <c r="I10" s="4"/>
      <c r="J10" s="4"/>
      <c r="K10" s="8"/>
      <c r="L10" s="14"/>
      <c r="M10" s="14"/>
      <c r="N10" s="14"/>
    </row>
    <row r="11" spans="1:14">
      <c r="A11" s="2" t="s">
        <v>26</v>
      </c>
      <c r="B11" s="3" t="s">
        <v>27</v>
      </c>
      <c r="C11" s="3" t="s">
        <v>23</v>
      </c>
      <c r="D11" s="15"/>
      <c r="E11" s="15"/>
      <c r="F11" s="3">
        <v>1</v>
      </c>
      <c r="G11" s="3" t="s">
        <v>18</v>
      </c>
      <c r="H11" s="3">
        <v>1000</v>
      </c>
      <c r="I11" s="3" t="s">
        <v>19</v>
      </c>
      <c r="J11" s="3" t="s">
        <v>28</v>
      </c>
      <c r="K11" s="5"/>
      <c r="L11" s="14">
        <f>($F11*$H11)+($F11*$H11*$K11)</f>
        <v>1000</v>
      </c>
      <c r="M11" s="14">
        <f>L11/F11</f>
        <v>1000</v>
      </c>
      <c r="N11" s="6">
        <f>IF(J11="Eventualposition",0,($F11*$H11)+($F11*$H11*$K11))</f>
        <v>0</v>
      </c>
    </row>
    <row r="12" spans="1:14">
      <c r="A12" s="11"/>
      <c r="B12" s="11"/>
      <c r="C12" s="11"/>
      <c r="D12" s="12"/>
      <c r="E12" s="12"/>
      <c r="F12" s="11"/>
      <c r="G12" s="11"/>
      <c r="H12" s="11"/>
      <c r="I12" s="11"/>
      <c r="J12" s="11"/>
      <c r="K12" s="13"/>
      <c r="L12" s="16"/>
      <c r="M12" s="16"/>
      <c r="N12" s="17"/>
    </row>
    <row r="13" spans="1:14">
      <c r="B13" s="4"/>
      <c r="C13" s="4"/>
      <c r="D13" s="10"/>
      <c r="E13" s="10"/>
      <c r="F13" s="4"/>
      <c r="G13" s="4"/>
      <c r="H13" s="4"/>
      <c r="I13" s="4"/>
      <c r="J13" s="4"/>
      <c r="K13" s="8"/>
      <c r="L13" s="18"/>
      <c r="M13" s="18"/>
      <c r="N13" s="18"/>
    </row>
    <row r="14" spans="1:14">
      <c r="A14" s="2" t="s">
        <v>29</v>
      </c>
      <c r="B14" s="3" t="s">
        <v>30</v>
      </c>
      <c r="C14" s="3" t="s">
        <v>31</v>
      </c>
      <c r="D14" s="15"/>
      <c r="E14" s="15"/>
      <c r="F14" s="3">
        <v>1</v>
      </c>
      <c r="G14" s="3" t="s">
        <v>18</v>
      </c>
      <c r="H14" s="3">
        <v>1500</v>
      </c>
      <c r="I14" s="3" t="s">
        <v>19</v>
      </c>
      <c r="J14" s="3"/>
      <c r="K14" s="5"/>
      <c r="L14" s="6">
        <f>($F14*$H14)+($F14*$H14*$K14)</f>
        <v>1500</v>
      </c>
      <c r="M14" s="9">
        <f>L14/F14</f>
        <v>1500</v>
      </c>
      <c r="N14" s="9">
        <f>IF(J14="Eventualposition",0,($F14*$H14)+($F14*$H14*$K14))</f>
        <v>1500</v>
      </c>
    </row>
    <row r="15" spans="1:14">
      <c r="A15" s="19"/>
      <c r="B15" s="4" t="s">
        <v>32</v>
      </c>
      <c r="C15" s="4"/>
      <c r="D15" s="10"/>
      <c r="E15" s="10"/>
      <c r="F15" s="4"/>
      <c r="G15" s="4"/>
      <c r="H15" s="4"/>
      <c r="I15" s="4"/>
      <c r="J15" s="4"/>
      <c r="K15" s="8"/>
      <c r="L15" s="9"/>
      <c r="M15" s="9"/>
      <c r="N15" s="9"/>
    </row>
    <row r="16" spans="1:14">
      <c r="A16" s="11"/>
      <c r="B16" s="11"/>
      <c r="C16" s="11"/>
      <c r="D16" s="12"/>
      <c r="E16" s="12"/>
      <c r="F16" s="11"/>
      <c r="G16" s="11"/>
      <c r="H16" s="11"/>
      <c r="I16" s="11"/>
      <c r="J16" s="11"/>
      <c r="K16" s="13"/>
      <c r="L16" s="17"/>
      <c r="M16" s="17"/>
      <c r="N16" s="17"/>
    </row>
    <row r="17" spans="1:14">
      <c r="B17" s="4"/>
      <c r="C17" s="4"/>
      <c r="D17" s="10"/>
      <c r="E17" s="10"/>
      <c r="F17" s="4"/>
      <c r="G17" s="4"/>
      <c r="H17" s="4"/>
      <c r="I17" s="4"/>
      <c r="J17" s="4"/>
      <c r="K17" s="8"/>
      <c r="L17" s="18"/>
      <c r="M17" s="18"/>
      <c r="N17" s="18"/>
    </row>
    <row r="18" spans="1:14">
      <c r="A18" s="2" t="s">
        <v>33</v>
      </c>
      <c r="B18" s="3" t="s">
        <v>34</v>
      </c>
      <c r="C18" s="3" t="s">
        <v>31</v>
      </c>
      <c r="D18" s="15"/>
      <c r="E18" s="15"/>
      <c r="F18" s="3">
        <v>1</v>
      </c>
      <c r="G18" s="3" t="s">
        <v>18</v>
      </c>
      <c r="H18" s="3">
        <v>1500</v>
      </c>
      <c r="I18" s="3" t="s">
        <v>19</v>
      </c>
      <c r="J18" s="3"/>
      <c r="K18" s="5"/>
      <c r="L18" s="6">
        <f>($F18*$H18)+($F18*$H18*$K18)</f>
        <v>1500</v>
      </c>
      <c r="M18" s="9">
        <f>L18/F18</f>
        <v>1500</v>
      </c>
      <c r="N18" s="9">
        <f>IF(J18="Eventualposition",0,($F18*$H18)+($F18*$H18*$K18))</f>
        <v>1500</v>
      </c>
    </row>
    <row r="19" spans="1:14">
      <c r="A19" s="19"/>
      <c r="B19" s="10" t="s">
        <v>35</v>
      </c>
      <c r="C19" s="4"/>
      <c r="D19" s="10"/>
      <c r="E19" s="10"/>
      <c r="F19" s="4"/>
      <c r="G19" s="4"/>
      <c r="H19" s="4"/>
      <c r="I19" s="4"/>
      <c r="J19" s="4"/>
      <c r="K19" s="8"/>
      <c r="L19" s="9"/>
      <c r="M19" s="9"/>
      <c r="N19" s="9"/>
    </row>
    <row r="20" spans="1:14">
      <c r="A20" s="20"/>
      <c r="B20" s="11"/>
      <c r="C20" s="11"/>
      <c r="D20" s="12"/>
      <c r="E20" s="12"/>
      <c r="F20" s="11"/>
      <c r="G20" s="11"/>
      <c r="H20" s="11"/>
      <c r="I20" s="11"/>
      <c r="J20" s="11"/>
      <c r="K20" s="13"/>
      <c r="L20" s="17"/>
      <c r="M20" s="17"/>
      <c r="N20" s="17"/>
    </row>
    <row r="21" spans="1:14">
      <c r="B21" s="4"/>
      <c r="C21" s="4"/>
      <c r="D21" s="10"/>
      <c r="E21" s="10"/>
      <c r="F21" s="4"/>
      <c r="G21" s="4"/>
      <c r="H21" s="4"/>
      <c r="I21" s="4"/>
      <c r="J21" s="4"/>
      <c r="K21" s="8"/>
      <c r="L21" s="18"/>
      <c r="M21" s="18"/>
      <c r="N21" s="18"/>
    </row>
    <row r="22" spans="1:14">
      <c r="A22" s="2" t="s">
        <v>36</v>
      </c>
      <c r="B22" s="3" t="s">
        <v>37</v>
      </c>
      <c r="C22" s="3" t="s">
        <v>31</v>
      </c>
      <c r="D22" s="15"/>
      <c r="E22" s="15" t="s">
        <v>38</v>
      </c>
      <c r="F22" s="3">
        <v>1</v>
      </c>
      <c r="G22" s="3" t="s">
        <v>18</v>
      </c>
      <c r="H22" s="3">
        <v>3000</v>
      </c>
      <c r="I22" s="3" t="s">
        <v>19</v>
      </c>
      <c r="J22" s="3" t="s">
        <v>28</v>
      </c>
      <c r="K22" s="5"/>
      <c r="L22" s="6">
        <f>($F22*$H22)+($F22*$H22*$K22)</f>
        <v>3000</v>
      </c>
      <c r="M22" s="9">
        <f>L22/F22</f>
        <v>3000</v>
      </c>
      <c r="N22" s="9">
        <f>IF(J22="Eventualposition",0,($F22*$H22)+($F22*$H22*$K22))</f>
        <v>0</v>
      </c>
    </row>
    <row r="23" spans="1:14">
      <c r="A23" s="20"/>
      <c r="B23" s="11"/>
      <c r="C23" s="11"/>
      <c r="D23" s="12"/>
      <c r="E23" s="12" t="s">
        <v>39</v>
      </c>
      <c r="F23" s="11"/>
      <c r="G23" s="11"/>
      <c r="H23" s="11"/>
      <c r="I23" s="11"/>
      <c r="J23" s="11"/>
      <c r="K23" s="13"/>
      <c r="L23" s="17"/>
      <c r="M23" s="17"/>
      <c r="N23" s="17"/>
    </row>
    <row r="24" spans="1:14">
      <c r="B24" s="4"/>
      <c r="C24" s="4"/>
      <c r="D24" s="10"/>
      <c r="E24" s="10"/>
      <c r="F24" s="4"/>
      <c r="G24" s="4"/>
      <c r="H24" s="4"/>
      <c r="I24" s="4"/>
      <c r="J24" s="4"/>
      <c r="K24" s="8"/>
      <c r="L24" s="18"/>
      <c r="M24" s="18"/>
      <c r="N24" s="18"/>
    </row>
    <row r="25" spans="1:14">
      <c r="A25" s="2" t="s">
        <v>40</v>
      </c>
      <c r="B25" s="3" t="s">
        <v>41</v>
      </c>
      <c r="C25" s="3" t="s">
        <v>23</v>
      </c>
      <c r="D25" s="15"/>
      <c r="E25" s="15" t="s">
        <v>42</v>
      </c>
      <c r="F25" s="3">
        <v>20000</v>
      </c>
      <c r="G25" s="3" t="s">
        <v>43</v>
      </c>
      <c r="H25" s="3">
        <v>0.35</v>
      </c>
      <c r="I25" s="3" t="s">
        <v>44</v>
      </c>
      <c r="J25" s="3"/>
      <c r="K25" s="5">
        <v>0.2</v>
      </c>
      <c r="L25" s="6">
        <f>($F25*$H25)+($F25*$H25*$K25)</f>
        <v>8400</v>
      </c>
      <c r="M25" s="9">
        <f>L25/F25</f>
        <v>0.42</v>
      </c>
      <c r="N25" s="9">
        <f>IF(J25="Eventualposition",0,($F25*$H25)+($F25*$H25*$K25))</f>
        <v>8400</v>
      </c>
    </row>
    <row r="26" spans="1:14">
      <c r="A26" s="19"/>
      <c r="B26" s="4"/>
      <c r="C26" s="4"/>
      <c r="D26" s="10"/>
      <c r="E26" s="10" t="s">
        <v>45</v>
      </c>
      <c r="F26" s="4"/>
      <c r="G26" s="4"/>
      <c r="H26" s="4"/>
      <c r="I26" s="4"/>
      <c r="J26" s="4"/>
      <c r="K26" s="8"/>
      <c r="L26" s="9"/>
      <c r="M26" s="9"/>
      <c r="N26" s="9"/>
    </row>
    <row r="27" spans="1:14">
      <c r="A27" s="20"/>
      <c r="B27" s="11"/>
      <c r="C27" s="11"/>
      <c r="D27" s="12"/>
      <c r="E27" s="12" t="s">
        <v>46</v>
      </c>
      <c r="F27" s="11"/>
      <c r="G27" s="11"/>
      <c r="H27" s="11"/>
      <c r="I27" s="11"/>
      <c r="J27" s="11"/>
      <c r="K27" s="13"/>
      <c r="L27" s="17"/>
      <c r="M27" s="17"/>
      <c r="N27" s="17"/>
    </row>
    <row r="28" spans="1:14">
      <c r="B28" s="4"/>
      <c r="C28" s="4"/>
      <c r="D28" s="10"/>
      <c r="E28" s="10"/>
      <c r="F28" s="4"/>
      <c r="G28" s="4"/>
      <c r="H28" s="4"/>
      <c r="I28" s="4"/>
      <c r="J28" s="4"/>
      <c r="K28" s="8"/>
      <c r="L28" s="16"/>
      <c r="M28" s="16"/>
      <c r="N28" s="16"/>
    </row>
    <row r="29" spans="1:14">
      <c r="A29" s="2" t="s">
        <v>47</v>
      </c>
      <c r="B29" s="3" t="s">
        <v>48</v>
      </c>
      <c r="C29" s="3" t="s">
        <v>23</v>
      </c>
      <c r="D29" s="15"/>
      <c r="E29" s="15" t="s">
        <v>49</v>
      </c>
      <c r="F29" s="3">
        <v>20000</v>
      </c>
      <c r="G29" s="3" t="s">
        <v>43</v>
      </c>
      <c r="H29" s="3">
        <v>0.35</v>
      </c>
      <c r="I29" s="3" t="s">
        <v>44</v>
      </c>
      <c r="J29" s="3"/>
      <c r="K29" s="5">
        <v>0.2</v>
      </c>
      <c r="L29" s="6">
        <f>($F29*$H29)+($F29*$H29*$K29)</f>
        <v>8400</v>
      </c>
      <c r="M29" s="9">
        <f>L29/F29</f>
        <v>0.42</v>
      </c>
      <c r="N29" s="9">
        <f>IF(J29="Eventualposition",0,($F29*$H29)+($F29*$H29*$K29))</f>
        <v>8400</v>
      </c>
    </row>
    <row r="30" spans="1:14">
      <c r="A30" s="20"/>
      <c r="B30" s="11"/>
      <c r="C30" s="11"/>
      <c r="D30" s="12"/>
      <c r="E30" s="12"/>
      <c r="F30" s="11"/>
      <c r="G30" s="11"/>
      <c r="H30" s="11"/>
      <c r="I30" s="11"/>
      <c r="J30" s="11"/>
      <c r="K30" s="13"/>
      <c r="L30" s="17"/>
      <c r="M30" s="17"/>
      <c r="N30" s="17"/>
    </row>
    <row r="31" spans="1:14">
      <c r="B31" s="4"/>
      <c r="C31" s="4"/>
      <c r="D31" s="10"/>
      <c r="E31" s="10"/>
      <c r="F31" s="4"/>
      <c r="G31" s="4"/>
      <c r="H31" s="4"/>
      <c r="I31" s="4"/>
      <c r="J31" s="4"/>
      <c r="K31" s="8"/>
      <c r="L31" s="18"/>
      <c r="M31" s="18"/>
      <c r="N31" s="18"/>
    </row>
    <row r="32" spans="1:14">
      <c r="A32" s="2" t="s">
        <v>50</v>
      </c>
      <c r="B32" s="3" t="s">
        <v>51</v>
      </c>
      <c r="C32" s="3" t="s">
        <v>31</v>
      </c>
      <c r="D32" s="15"/>
      <c r="E32" s="15" t="s">
        <v>52</v>
      </c>
      <c r="F32" s="3">
        <v>1</v>
      </c>
      <c r="G32" s="3" t="s">
        <v>18</v>
      </c>
      <c r="H32" s="3">
        <v>1500</v>
      </c>
      <c r="I32" s="3" t="s">
        <v>19</v>
      </c>
      <c r="J32" s="3"/>
      <c r="K32" s="5"/>
      <c r="L32" s="6">
        <f>($F32*$H32)+($F32*$H32*$K32)</f>
        <v>1500</v>
      </c>
      <c r="M32" s="21">
        <f>L32/F32</f>
        <v>1500</v>
      </c>
      <c r="N32" s="9">
        <f>IF(J32="Eventualposition",0,($F32*$H32)+($F32*$H32*$K32))</f>
        <v>1500</v>
      </c>
    </row>
    <row r="33" spans="1:14">
      <c r="A33" s="19"/>
      <c r="B33" s="4" t="s">
        <v>53</v>
      </c>
      <c r="C33" s="4"/>
      <c r="D33" s="10"/>
      <c r="E33" s="10" t="s">
        <v>54</v>
      </c>
      <c r="F33" s="4"/>
      <c r="G33" s="4"/>
      <c r="H33" s="4"/>
      <c r="I33" s="4"/>
      <c r="J33" s="4"/>
      <c r="K33" s="8"/>
      <c r="L33" s="9"/>
      <c r="M33" s="9"/>
      <c r="N33" s="9"/>
    </row>
    <row r="34" spans="1:14">
      <c r="A34" s="20"/>
      <c r="B34" s="11"/>
      <c r="C34" s="11"/>
      <c r="D34" s="12"/>
      <c r="E34" s="12"/>
      <c r="F34" s="11"/>
      <c r="G34" s="11"/>
      <c r="H34" s="11"/>
      <c r="I34" s="11"/>
      <c r="J34" s="11"/>
      <c r="K34" s="13"/>
      <c r="L34" s="17"/>
      <c r="M34" s="17"/>
      <c r="N34" s="17"/>
    </row>
    <row r="35" spans="1:14">
      <c r="B35" s="4"/>
      <c r="C35" s="4"/>
      <c r="D35" s="10"/>
      <c r="E35" s="10"/>
      <c r="F35" s="4"/>
      <c r="G35" s="4"/>
      <c r="H35" s="4"/>
      <c r="I35" s="4"/>
      <c r="J35" s="4"/>
      <c r="K35" s="8"/>
      <c r="L35" s="18"/>
      <c r="M35" s="18"/>
      <c r="N35" s="18"/>
    </row>
    <row r="36" spans="1:14">
      <c r="A36" s="2" t="s">
        <v>55</v>
      </c>
      <c r="B36" s="3" t="s">
        <v>56</v>
      </c>
      <c r="C36" s="3" t="s">
        <v>31</v>
      </c>
      <c r="D36" s="15"/>
      <c r="E36" s="15" t="s">
        <v>57</v>
      </c>
      <c r="F36" s="3">
        <v>1</v>
      </c>
      <c r="G36" s="3" t="s">
        <v>18</v>
      </c>
      <c r="H36" s="3">
        <v>2000</v>
      </c>
      <c r="I36" s="3" t="s">
        <v>19</v>
      </c>
      <c r="J36" s="3"/>
      <c r="K36" s="5"/>
      <c r="L36" s="6">
        <f>($F36*$H36)+($F36*$H36*$K36)</f>
        <v>2000</v>
      </c>
      <c r="M36" s="21">
        <f>L36/F36</f>
        <v>2000</v>
      </c>
      <c r="N36" s="9">
        <f>IF(J36="Eventualposition",0,($F36*$H36)+($F36*$H36*$K36))</f>
        <v>2000</v>
      </c>
    </row>
    <row r="37" spans="1:14">
      <c r="A37" s="20"/>
      <c r="B37" s="11"/>
      <c r="C37" s="11"/>
      <c r="D37" s="12"/>
      <c r="E37" s="12"/>
      <c r="F37" s="11"/>
      <c r="G37" s="11"/>
      <c r="H37" s="11"/>
      <c r="I37" s="11"/>
      <c r="J37" s="11"/>
      <c r="K37" s="13"/>
      <c r="L37" s="17"/>
      <c r="M37" s="17"/>
      <c r="N37" s="17"/>
    </row>
    <row r="38" spans="1:14">
      <c r="B38" s="4"/>
      <c r="C38" s="4"/>
      <c r="D38" s="10"/>
      <c r="E38" s="10"/>
      <c r="F38" s="4"/>
      <c r="G38" s="4"/>
      <c r="H38" s="4"/>
      <c r="I38" s="4"/>
      <c r="J38" s="4"/>
      <c r="K38" s="8"/>
      <c r="L38" s="18"/>
      <c r="M38" s="18"/>
      <c r="N38" s="18"/>
    </row>
    <row r="39" spans="1:14">
      <c r="A39" s="22" t="s">
        <v>58</v>
      </c>
      <c r="B39" s="3" t="s">
        <v>59</v>
      </c>
      <c r="C39" s="3" t="s">
        <v>31</v>
      </c>
      <c r="D39" s="15"/>
      <c r="E39" s="15" t="s">
        <v>60</v>
      </c>
      <c r="F39" s="3">
        <v>1</v>
      </c>
      <c r="G39" s="3" t="s">
        <v>18</v>
      </c>
      <c r="H39" s="3">
        <v>1000</v>
      </c>
      <c r="I39" s="3" t="s">
        <v>19</v>
      </c>
      <c r="J39" s="3" t="s">
        <v>28</v>
      </c>
      <c r="K39" s="5"/>
      <c r="L39" s="6">
        <f>($F39*$H39)+($F39*$H39*$K39)</f>
        <v>1000</v>
      </c>
      <c r="M39" s="21">
        <f>L39/F39</f>
        <v>1000</v>
      </c>
      <c r="N39" s="9">
        <f>IF(J39="Eventualposition",0,($F39*$H39)+($F39*$H39*$K39))</f>
        <v>0</v>
      </c>
    </row>
    <row r="40" spans="1:14">
      <c r="A40" s="4"/>
      <c r="B40" s="4" t="s">
        <v>61</v>
      </c>
      <c r="C40" s="4"/>
      <c r="D40" s="10"/>
      <c r="E40" s="10" t="s">
        <v>62</v>
      </c>
      <c r="F40" s="4"/>
      <c r="G40" s="4"/>
      <c r="H40" s="4"/>
      <c r="I40" s="4"/>
      <c r="J40" s="4"/>
      <c r="K40" s="8"/>
      <c r="L40" s="9"/>
      <c r="M40" s="9"/>
      <c r="N40" s="9"/>
    </row>
    <row r="41" spans="1:14">
      <c r="A41" s="11"/>
      <c r="B41" s="11"/>
      <c r="C41" s="11"/>
      <c r="D41" s="12"/>
      <c r="E41" s="12" t="s">
        <v>63</v>
      </c>
      <c r="F41" s="11"/>
      <c r="G41" s="11"/>
      <c r="H41" s="11"/>
      <c r="I41" s="11"/>
      <c r="J41" s="11"/>
      <c r="K41" s="13"/>
      <c r="L41" s="17"/>
      <c r="M41" s="17"/>
      <c r="N41" s="17"/>
    </row>
    <row r="43" spans="1:14">
      <c r="A43" s="22" t="s">
        <v>64</v>
      </c>
      <c r="B43" s="3" t="s">
        <v>65</v>
      </c>
      <c r="C43" s="3" t="s">
        <v>16</v>
      </c>
      <c r="D43" s="3"/>
      <c r="E43" s="3" t="s">
        <v>66</v>
      </c>
      <c r="F43" s="3">
        <v>5</v>
      </c>
      <c r="G43" s="3" t="s">
        <v>67</v>
      </c>
      <c r="H43" s="3">
        <v>48.6</v>
      </c>
      <c r="I43" s="3" t="s">
        <v>68</v>
      </c>
      <c r="J43" s="3"/>
      <c r="K43" s="5">
        <v>0.22</v>
      </c>
      <c r="L43" s="6">
        <f>($F43*$H43)+($F43*$H43*$K43)</f>
        <v>296.45999999999998</v>
      </c>
      <c r="M43" s="7"/>
      <c r="N43" s="7">
        <f>IF(J43="Eventualposition",0,($F43*$H43)+($F43*$H43*$K43))</f>
        <v>296.45999999999998</v>
      </c>
    </row>
    <row r="44" spans="1:14">
      <c r="A44" s="19"/>
      <c r="B44" s="4" t="s">
        <v>69</v>
      </c>
      <c r="C44" s="4" t="s">
        <v>70</v>
      </c>
      <c r="D44" s="4" t="s">
        <v>71</v>
      </c>
      <c r="E44" s="10" t="s">
        <v>72</v>
      </c>
      <c r="F44" s="4">
        <v>3</v>
      </c>
      <c r="G44" s="10" t="s">
        <v>73</v>
      </c>
      <c r="H44" s="4">
        <v>60</v>
      </c>
      <c r="I44" s="4" t="s">
        <v>19</v>
      </c>
      <c r="J44" s="4"/>
      <c r="K44" s="23">
        <v>0.12</v>
      </c>
      <c r="L44" s="9">
        <f>($F44*$H44)+($F44*$H44*$K44)</f>
        <v>201.6</v>
      </c>
      <c r="M44" s="9">
        <f>L43/F43+L44/F44</f>
        <v>126.49199999999999</v>
      </c>
      <c r="N44" s="9">
        <f>IF(J44="Eventualposition",0,($F44*$H44)+($F44*$H44*$K44))</f>
        <v>201.6</v>
      </c>
    </row>
    <row r="45" spans="1:14">
      <c r="A45" s="20"/>
      <c r="B45" s="24"/>
      <c r="C45" s="11"/>
      <c r="D45" s="11"/>
      <c r="E45" s="11" t="s">
        <v>74</v>
      </c>
      <c r="F45" s="11"/>
      <c r="G45" s="11"/>
      <c r="H45" s="11"/>
      <c r="I45" s="11"/>
      <c r="J45" s="11"/>
      <c r="K45" s="13"/>
      <c r="L45" s="17"/>
      <c r="M45" s="17"/>
      <c r="N45" s="17"/>
    </row>
    <row r="47" spans="1:14">
      <c r="A47" s="22" t="s">
        <v>75</v>
      </c>
      <c r="B47" s="3" t="s">
        <v>76</v>
      </c>
      <c r="C47" s="3"/>
      <c r="D47" s="3"/>
      <c r="E47" s="3" t="s">
        <v>77</v>
      </c>
      <c r="F47" s="3"/>
      <c r="G47" s="3"/>
      <c r="H47" s="3"/>
      <c r="I47" s="3"/>
      <c r="J47" s="3"/>
      <c r="K47" s="5"/>
      <c r="L47" s="6"/>
      <c r="M47" s="6"/>
      <c r="N47" s="6"/>
    </row>
    <row r="48" spans="1:14">
      <c r="A48" s="19"/>
      <c r="B48" s="4"/>
      <c r="C48" s="4" t="s">
        <v>16</v>
      </c>
      <c r="D48" s="4"/>
      <c r="E48" s="10" t="s">
        <v>78</v>
      </c>
      <c r="F48" s="4">
        <v>20000</v>
      </c>
      <c r="G48" s="4" t="s">
        <v>79</v>
      </c>
      <c r="H48" s="4">
        <v>0.1</v>
      </c>
      <c r="I48" s="4" t="s">
        <v>44</v>
      </c>
      <c r="J48" s="4"/>
      <c r="K48" s="8">
        <v>0.22</v>
      </c>
      <c r="L48" s="9">
        <f>($F48*$H48)+($F48*$H48*$K48)</f>
        <v>2440</v>
      </c>
      <c r="M48" s="9">
        <f>L48/F48</f>
        <v>0.122</v>
      </c>
      <c r="N48" s="9">
        <f>IF(J48="Eventualposition",0,($F48*$H48)+($F48*$H48*$K48))</f>
        <v>2440</v>
      </c>
    </row>
    <row r="49" spans="1:14">
      <c r="A49" s="20"/>
      <c r="B49" s="24"/>
      <c r="C49" s="11"/>
      <c r="D49" s="11"/>
      <c r="E49" s="11"/>
      <c r="F49" s="11"/>
      <c r="G49" s="11"/>
      <c r="H49" s="11"/>
      <c r="I49" s="11"/>
      <c r="J49" s="11"/>
      <c r="K49" s="13"/>
      <c r="L49" s="17"/>
      <c r="M49" s="17"/>
      <c r="N49" s="17"/>
    </row>
    <row r="51" spans="1:14">
      <c r="A51" s="22" t="s">
        <v>80</v>
      </c>
      <c r="B51" s="3" t="s">
        <v>81</v>
      </c>
      <c r="C51" s="3"/>
      <c r="D51" s="3"/>
      <c r="E51" s="3"/>
      <c r="F51" s="3"/>
      <c r="G51" s="3"/>
      <c r="H51" s="3"/>
      <c r="I51" s="3"/>
      <c r="J51" s="3"/>
      <c r="K51" s="5"/>
      <c r="L51" s="6"/>
      <c r="M51" s="6"/>
      <c r="N51" s="6"/>
    </row>
    <row r="52" spans="1:14">
      <c r="A52" s="19"/>
      <c r="B52" s="4" t="s">
        <v>82</v>
      </c>
      <c r="C52" s="4" t="s">
        <v>23</v>
      </c>
      <c r="D52" s="4"/>
      <c r="E52" s="4"/>
      <c r="F52" s="4">
        <v>1</v>
      </c>
      <c r="G52" s="4" t="s">
        <v>83</v>
      </c>
      <c r="H52" s="4">
        <v>600</v>
      </c>
      <c r="I52" s="4" t="s">
        <v>84</v>
      </c>
      <c r="J52" s="4"/>
      <c r="K52" s="23">
        <v>0.04</v>
      </c>
      <c r="L52" s="9">
        <f>($F52*$H52)+($F52*$H52*$K52)</f>
        <v>624</v>
      </c>
      <c r="M52" s="9">
        <f>N52/F52</f>
        <v>624</v>
      </c>
      <c r="N52" s="9">
        <f>IF(J52="Eventualposition",0,($F52*$H52)+($F52*$H52*$K52))</f>
        <v>624</v>
      </c>
    </row>
    <row r="53" spans="1:14">
      <c r="A53" s="20"/>
      <c r="B53" s="11" t="s">
        <v>85</v>
      </c>
      <c r="C53" s="11" t="s">
        <v>23</v>
      </c>
      <c r="D53" s="11"/>
      <c r="E53" s="11"/>
      <c r="F53" s="11"/>
      <c r="G53" s="11"/>
      <c r="H53" s="11"/>
      <c r="I53" s="11"/>
      <c r="J53" s="11"/>
      <c r="K53" s="25"/>
      <c r="L53" s="17"/>
      <c r="M53" s="11"/>
      <c r="N53" s="17"/>
    </row>
    <row r="56" spans="1:14">
      <c r="A56" t="s">
        <v>1</v>
      </c>
      <c r="B56" t="s">
        <v>2</v>
      </c>
      <c r="C56" t="s">
        <v>3</v>
      </c>
      <c r="D56" t="s">
        <v>4</v>
      </c>
      <c r="E56" t="s">
        <v>5</v>
      </c>
      <c r="F56" t="s">
        <v>6</v>
      </c>
      <c r="G56" t="s">
        <v>7</v>
      </c>
      <c r="H56" t="s">
        <v>8</v>
      </c>
      <c r="I56" t="s">
        <v>7</v>
      </c>
      <c r="J56" t="s">
        <v>9</v>
      </c>
      <c r="K56" s="1" t="s">
        <v>10</v>
      </c>
      <c r="L56" t="s">
        <v>11</v>
      </c>
      <c r="M56" t="s">
        <v>12</v>
      </c>
      <c r="N56" t="s">
        <v>13</v>
      </c>
    </row>
    <row r="57" spans="1:14">
      <c r="A57" s="22" t="s">
        <v>86</v>
      </c>
      <c r="B57" s="3" t="s">
        <v>87</v>
      </c>
      <c r="C57" s="3" t="s">
        <v>70</v>
      </c>
      <c r="D57" s="3" t="s">
        <v>88</v>
      </c>
      <c r="E57" s="3" t="s">
        <v>204</v>
      </c>
      <c r="F57" s="3">
        <v>45000</v>
      </c>
      <c r="G57" s="3" t="s">
        <v>79</v>
      </c>
      <c r="H57" s="15">
        <v>13.14</v>
      </c>
      <c r="I57" s="3" t="s">
        <v>44</v>
      </c>
      <c r="J57" s="3"/>
      <c r="K57" s="5">
        <v>0.1</v>
      </c>
      <c r="L57" s="6">
        <f>($F57*$H57)+($F57*$H57*$K57)</f>
        <v>650430</v>
      </c>
      <c r="M57" s="7">
        <f>L57/F57</f>
        <v>14.454000000000001</v>
      </c>
      <c r="N57" s="6">
        <f t="shared" ref="N57" si="0">IF(J57="Eventualposition",0,($F57*$H57)+($F57*$H57*$K57))</f>
        <v>650430</v>
      </c>
    </row>
    <row r="58" spans="1:14">
      <c r="A58" s="27"/>
      <c r="B58" s="4"/>
      <c r="C58" s="4"/>
      <c r="D58" s="4"/>
      <c r="E58" s="4" t="s">
        <v>207</v>
      </c>
      <c r="F58" s="4"/>
      <c r="G58" s="4"/>
      <c r="H58" s="4"/>
      <c r="I58" s="4"/>
      <c r="J58" s="4"/>
      <c r="K58" s="8"/>
      <c r="L58" s="9"/>
      <c r="M58" s="9"/>
      <c r="N58" s="9"/>
    </row>
    <row r="59" spans="1:14">
      <c r="A59" s="27"/>
      <c r="B59" s="4"/>
      <c r="C59" s="4" t="s">
        <v>70</v>
      </c>
      <c r="D59" s="4" t="s">
        <v>89</v>
      </c>
      <c r="E59" s="10" t="s">
        <v>90</v>
      </c>
      <c r="F59" s="4">
        <f>($F$57/3)/250</f>
        <v>60</v>
      </c>
      <c r="G59" s="4" t="s">
        <v>73</v>
      </c>
      <c r="H59" s="4">
        <v>0.04</v>
      </c>
      <c r="I59" s="4" t="s">
        <v>19</v>
      </c>
      <c r="J59" s="4"/>
      <c r="K59" s="8">
        <v>0.1</v>
      </c>
      <c r="L59" s="9">
        <f>($F59*$H59)+($F59*$H59*$K59)</f>
        <v>2.6399999999999997</v>
      </c>
      <c r="M59" s="9">
        <f>L59/F59</f>
        <v>4.3999999999999997E-2</v>
      </c>
      <c r="N59" s="9">
        <f>IF(J59="Eventualposition",0,($F59*$H59)+($F59*$H59*$K59))</f>
        <v>2.6399999999999997</v>
      </c>
    </row>
    <row r="60" spans="1:14">
      <c r="A60" s="19"/>
      <c r="B60" s="4" t="s">
        <v>212</v>
      </c>
      <c r="C60" s="4" t="s">
        <v>23</v>
      </c>
      <c r="D60" s="4" t="s">
        <v>91</v>
      </c>
      <c r="E60" s="4" t="s">
        <v>213</v>
      </c>
      <c r="F60" s="28">
        <v>15000</v>
      </c>
      <c r="G60" s="4" t="s">
        <v>79</v>
      </c>
      <c r="H60" s="10">
        <v>1.9</v>
      </c>
      <c r="I60" s="4" t="s">
        <v>44</v>
      </c>
      <c r="J60" s="4"/>
      <c r="K60" s="8">
        <v>0.13</v>
      </c>
      <c r="L60" s="9">
        <f>($F60*$H60)+($F60*$H60*$K60)</f>
        <v>32205</v>
      </c>
      <c r="M60" s="9">
        <f>L60/F60</f>
        <v>2.1469999999999998</v>
      </c>
      <c r="N60" s="9">
        <f>IF(J60="Eventualposition",0,($F60*$H60)+($F60*$H60*$K60))</f>
        <v>32205</v>
      </c>
    </row>
    <row r="61" spans="1:14">
      <c r="A61" s="19"/>
      <c r="B61" s="4"/>
      <c r="C61" s="4"/>
      <c r="D61" s="4"/>
      <c r="E61" s="4" t="s">
        <v>92</v>
      </c>
      <c r="F61" s="4"/>
      <c r="G61" s="4"/>
      <c r="H61" s="4"/>
      <c r="I61" s="4"/>
      <c r="J61" s="4"/>
      <c r="K61" s="8"/>
      <c r="L61" s="9"/>
      <c r="M61" s="9"/>
      <c r="N61" s="9"/>
    </row>
    <row r="62" spans="1:14">
      <c r="A62" s="19"/>
      <c r="B62" s="4"/>
      <c r="C62" s="4"/>
      <c r="D62" s="4"/>
      <c r="E62" s="4" t="s">
        <v>93</v>
      </c>
      <c r="F62" s="4">
        <f>$F$60</f>
        <v>15000</v>
      </c>
      <c r="G62" s="4" t="s">
        <v>79</v>
      </c>
      <c r="H62" s="4">
        <v>0.04</v>
      </c>
      <c r="I62" s="4" t="s">
        <v>94</v>
      </c>
      <c r="J62" s="4"/>
      <c r="K62" s="8">
        <v>0.22</v>
      </c>
      <c r="L62" s="9">
        <f>($F62*$H62)+($F62*$H62*$K62)</f>
        <v>732</v>
      </c>
      <c r="M62" s="9">
        <f>L62/F62</f>
        <v>4.8800000000000003E-2</v>
      </c>
      <c r="N62" s="9">
        <f>IF(J62="Eventualposition",0,($F62*$H62)+($F62*$H62*$K62))</f>
        <v>732</v>
      </c>
    </row>
    <row r="63" spans="1:1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30"/>
      <c r="L63" s="18"/>
      <c r="M63" s="31">
        <f>SUM(M57:M62)</f>
        <v>16.6938</v>
      </c>
      <c r="N63" s="32"/>
    </row>
    <row r="65" spans="1:14">
      <c r="A65" s="2" t="s">
        <v>95</v>
      </c>
      <c r="B65" s="3" t="s">
        <v>206</v>
      </c>
      <c r="C65" s="3" t="s">
        <v>70</v>
      </c>
      <c r="D65" s="3" t="s">
        <v>88</v>
      </c>
      <c r="E65" s="3" t="s">
        <v>204</v>
      </c>
      <c r="F65" s="33">
        <v>135000</v>
      </c>
      <c r="G65" s="3" t="s">
        <v>79</v>
      </c>
      <c r="H65" s="15">
        <v>13.14</v>
      </c>
      <c r="I65" s="3" t="s">
        <v>44</v>
      </c>
      <c r="J65" s="3"/>
      <c r="K65" s="5">
        <v>0.1</v>
      </c>
      <c r="L65" s="6">
        <f>($F65*$H65)+($F65*$H65*$K65)</f>
        <v>1951290</v>
      </c>
      <c r="M65" s="7">
        <f>L65/F65</f>
        <v>14.454000000000001</v>
      </c>
      <c r="N65" s="6">
        <f t="shared" ref="N65" si="1">IF(J65="Eventualposition",0,($F65*$H65)+($F65*$H65*$K65))</f>
        <v>1951290</v>
      </c>
    </row>
    <row r="66" spans="1:14">
      <c r="A66" s="19"/>
      <c r="B66" s="4"/>
      <c r="C66" s="4"/>
      <c r="D66" s="4"/>
      <c r="E66" s="4" t="s">
        <v>207</v>
      </c>
      <c r="F66" s="4"/>
      <c r="G66" s="4"/>
      <c r="H66" s="4"/>
      <c r="I66" s="4"/>
      <c r="J66" s="4"/>
      <c r="K66" s="23"/>
      <c r="L66" s="9"/>
      <c r="M66" s="9"/>
      <c r="N66" s="9"/>
    </row>
    <row r="67" spans="1:14">
      <c r="A67" s="19"/>
      <c r="B67" s="4"/>
      <c r="C67" s="4"/>
      <c r="D67" s="4"/>
      <c r="E67" s="4"/>
      <c r="F67" s="4"/>
      <c r="G67" s="4"/>
      <c r="H67" s="4"/>
      <c r="I67" s="4"/>
      <c r="J67" s="4"/>
      <c r="K67" s="23"/>
      <c r="L67" s="9"/>
      <c r="M67" s="9"/>
      <c r="N67" s="9"/>
    </row>
    <row r="68" spans="1:14">
      <c r="A68" s="19"/>
      <c r="B68" s="4"/>
      <c r="C68" s="4" t="s">
        <v>70</v>
      </c>
      <c r="D68" s="4" t="s">
        <v>89</v>
      </c>
      <c r="E68" s="10" t="s">
        <v>90</v>
      </c>
      <c r="F68" s="4">
        <f>($F$65/3)/250</f>
        <v>180</v>
      </c>
      <c r="G68" s="4" t="s">
        <v>73</v>
      </c>
      <c r="H68" s="4">
        <v>0.04</v>
      </c>
      <c r="I68" s="4" t="s">
        <v>19</v>
      </c>
      <c r="J68" s="4"/>
      <c r="K68" s="8">
        <v>0.1</v>
      </c>
      <c r="L68" s="9">
        <f>($F68*$H68)+($F68*$H68*$K68)</f>
        <v>7.92</v>
      </c>
      <c r="M68" s="9">
        <f>L68/F68</f>
        <v>4.3999999999999997E-2</v>
      </c>
      <c r="N68" s="9">
        <f>IF(J68="Eventualposition",0,($F68*$H68)+($F68*$H68*$K68))</f>
        <v>7.92</v>
      </c>
    </row>
    <row r="69" spans="1:14">
      <c r="A69" s="19"/>
      <c r="B69" s="4"/>
      <c r="C69" s="4"/>
      <c r="D69" s="4"/>
      <c r="E69" s="4"/>
      <c r="F69" s="4"/>
      <c r="G69" s="4"/>
      <c r="H69" s="4"/>
      <c r="I69" s="4"/>
      <c r="J69" s="4"/>
      <c r="K69" s="23"/>
      <c r="L69" s="9"/>
      <c r="M69" s="9"/>
      <c r="N69" s="9"/>
    </row>
    <row r="70" spans="1:14">
      <c r="A70" s="27"/>
      <c r="B70" s="4"/>
      <c r="C70" s="4" t="s">
        <v>16</v>
      </c>
      <c r="D70" s="4" t="s">
        <v>96</v>
      </c>
      <c r="E70" s="4" t="s">
        <v>210</v>
      </c>
      <c r="F70" s="4">
        <f>$F$65/3</f>
        <v>45000</v>
      </c>
      <c r="G70" s="4"/>
      <c r="H70" s="10">
        <v>3.9</v>
      </c>
      <c r="I70" s="4" t="s">
        <v>44</v>
      </c>
      <c r="J70" s="4"/>
      <c r="K70" s="8">
        <v>0.12</v>
      </c>
      <c r="L70" s="9">
        <f>($F70*$H70)+($F70*$H70*$K70)</f>
        <v>196560</v>
      </c>
      <c r="M70" s="9">
        <f>L70/F70</f>
        <v>4.3680000000000003</v>
      </c>
      <c r="N70" s="9">
        <f>IF(J70="Eventualposition",0,($F70*$H70)+($F70*$H70*$K70))</f>
        <v>196560</v>
      </c>
    </row>
    <row r="71" spans="1:14">
      <c r="A71" s="19"/>
      <c r="B71" s="4"/>
      <c r="C71" s="4" t="s">
        <v>16</v>
      </c>
      <c r="D71" s="4" t="s">
        <v>97</v>
      </c>
      <c r="E71" s="10" t="s">
        <v>214</v>
      </c>
      <c r="F71" s="4">
        <f>$F$65/3</f>
        <v>45000</v>
      </c>
      <c r="G71" s="4" t="s">
        <v>79</v>
      </c>
      <c r="H71" s="10">
        <v>10.85</v>
      </c>
      <c r="I71" s="4" t="s">
        <v>44</v>
      </c>
      <c r="J71" s="4"/>
      <c r="K71" s="8">
        <v>0.2</v>
      </c>
      <c r="L71" s="9">
        <f>($F71*$H71)+($F71*$H71*$K71)</f>
        <v>585900</v>
      </c>
      <c r="M71" s="34">
        <f>L71/F71</f>
        <v>13.02</v>
      </c>
      <c r="N71" s="9">
        <f>IF(J71="Eventualposition",0,($F71*$H71)+($F71*$H71*$K71))</f>
        <v>585900</v>
      </c>
    </row>
    <row r="72" spans="1:14">
      <c r="A72" s="4"/>
      <c r="B72" s="4"/>
      <c r="C72" s="4"/>
      <c r="D72" s="4"/>
      <c r="E72" s="4" t="s">
        <v>98</v>
      </c>
      <c r="F72" s="4"/>
      <c r="G72" s="4"/>
      <c r="H72" s="4"/>
      <c r="I72" s="4"/>
      <c r="J72" s="4"/>
      <c r="K72" s="8"/>
      <c r="L72" s="9"/>
      <c r="M72" s="9"/>
      <c r="N72" s="9"/>
    </row>
    <row r="73" spans="1:14">
      <c r="A73" s="4"/>
      <c r="B73" s="4"/>
      <c r="C73" s="4"/>
      <c r="D73" s="4"/>
      <c r="E73" s="4" t="s">
        <v>99</v>
      </c>
      <c r="F73" s="4"/>
      <c r="G73" s="4"/>
      <c r="H73" s="4"/>
      <c r="I73" s="4"/>
      <c r="J73" s="4"/>
      <c r="K73" s="8"/>
      <c r="L73" s="9"/>
      <c r="M73" s="9"/>
      <c r="N73" s="9"/>
    </row>
    <row r="74" spans="1:14">
      <c r="A74" s="4"/>
      <c r="B74" s="4"/>
      <c r="C74" s="11"/>
      <c r="D74" s="11"/>
      <c r="E74" s="12" t="s">
        <v>93</v>
      </c>
      <c r="F74" s="11">
        <f>$F$70</f>
        <v>45000</v>
      </c>
      <c r="G74" s="11" t="s">
        <v>79</v>
      </c>
      <c r="H74" s="11">
        <v>0.04</v>
      </c>
      <c r="I74" s="11" t="s">
        <v>94</v>
      </c>
      <c r="J74" s="11"/>
      <c r="K74" s="13">
        <v>0.22</v>
      </c>
      <c r="L74" s="17">
        <f>($F74*$H74)+($F74*$H74*$K74)</f>
        <v>2196</v>
      </c>
      <c r="M74" s="17">
        <f>L74/F74</f>
        <v>4.8800000000000003E-2</v>
      </c>
      <c r="N74" s="17">
        <f>IF(J74="Eventualposition",0,($F74*$H74)+($F74*$H74*$K74))</f>
        <v>2196</v>
      </c>
    </row>
    <row r="75" spans="1:14">
      <c r="A75" s="35"/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36"/>
      <c r="M75" s="37">
        <f>SUM(M65:M74)</f>
        <v>31.934799999999999</v>
      </c>
      <c r="N75" s="38"/>
    </row>
    <row r="76" spans="1:14">
      <c r="A76" s="19"/>
    </row>
    <row r="77" spans="1:14">
      <c r="A77" s="22" t="s">
        <v>100</v>
      </c>
      <c r="B77" s="3" t="s">
        <v>101</v>
      </c>
      <c r="C77" s="3" t="s">
        <v>23</v>
      </c>
      <c r="D77" s="3"/>
      <c r="E77" s="3" t="s">
        <v>102</v>
      </c>
      <c r="F77" s="33">
        <v>3300</v>
      </c>
      <c r="G77" s="3" t="s">
        <v>43</v>
      </c>
      <c r="H77" s="3">
        <v>2.5</v>
      </c>
      <c r="I77" s="3" t="s">
        <v>44</v>
      </c>
      <c r="J77" s="3" t="s">
        <v>103</v>
      </c>
      <c r="K77" s="5">
        <v>0.1</v>
      </c>
      <c r="L77" s="6">
        <f>($F77*$H77)+($F77*$H77*$K77)</f>
        <v>9075</v>
      </c>
      <c r="M77" s="6">
        <f>L77/F77</f>
        <v>2.75</v>
      </c>
      <c r="N77" s="6">
        <f>IF(J77="Eventualposition",0,($F77*$H77)+($F77*$H77*$K77))</f>
        <v>9075</v>
      </c>
    </row>
    <row r="78" spans="1:14">
      <c r="A78" s="19"/>
      <c r="B78" s="4" t="s">
        <v>104</v>
      </c>
      <c r="C78" s="10" t="s">
        <v>23</v>
      </c>
      <c r="D78" s="4"/>
      <c r="E78" s="10" t="s">
        <v>105</v>
      </c>
      <c r="F78" s="28">
        <v>3300</v>
      </c>
      <c r="G78" s="4" t="s">
        <v>43</v>
      </c>
      <c r="H78" s="4">
        <v>28.5</v>
      </c>
      <c r="I78" s="4" t="s">
        <v>44</v>
      </c>
      <c r="J78" s="4" t="s">
        <v>211</v>
      </c>
      <c r="K78" s="8">
        <v>0.1</v>
      </c>
      <c r="L78" s="9">
        <f>($F78*$H78)+($F78*$H78*$K78)</f>
        <v>103455</v>
      </c>
      <c r="M78" s="9">
        <f>L78/F78</f>
        <v>31.35</v>
      </c>
      <c r="N78" s="9">
        <f>IF(J78="Eventualposition",0,($F78*$H78)+($F78*$H78*$K78))</f>
        <v>103455</v>
      </c>
    </row>
    <row r="79" spans="1:14">
      <c r="A79" s="19"/>
      <c r="B79" s="4"/>
      <c r="C79" s="4" t="s">
        <v>16</v>
      </c>
      <c r="D79" s="4" t="s">
        <v>106</v>
      </c>
      <c r="E79" s="4" t="s">
        <v>107</v>
      </c>
      <c r="F79" s="28">
        <v>30</v>
      </c>
      <c r="G79" s="4" t="s">
        <v>73</v>
      </c>
      <c r="H79" s="10">
        <v>60</v>
      </c>
      <c r="I79" s="4" t="s">
        <v>94</v>
      </c>
      <c r="J79" s="4"/>
      <c r="K79" s="8">
        <v>0.22</v>
      </c>
      <c r="L79" s="9">
        <f>($F79*$H79)+($F79*$H79*$K79)</f>
        <v>2196</v>
      </c>
      <c r="M79" s="9">
        <f>L79/F79</f>
        <v>73.2</v>
      </c>
      <c r="N79" s="9">
        <f>IF(J79="Eventualposition",0,($F79*$H79)+($F79*$H79*$K79))</f>
        <v>2196</v>
      </c>
    </row>
    <row r="80" spans="1:14">
      <c r="A80" s="19"/>
      <c r="B80" s="39"/>
      <c r="C80" s="10" t="s">
        <v>70</v>
      </c>
      <c r="D80" s="4" t="s">
        <v>9</v>
      </c>
      <c r="E80" s="39" t="s">
        <v>108</v>
      </c>
      <c r="F80" s="28">
        <v>3600</v>
      </c>
      <c r="G80" s="10" t="s">
        <v>79</v>
      </c>
      <c r="H80" s="10">
        <v>1.17</v>
      </c>
      <c r="I80" s="10" t="s">
        <v>44</v>
      </c>
      <c r="J80" s="4" t="s">
        <v>103</v>
      </c>
      <c r="K80" s="23">
        <v>0.1</v>
      </c>
      <c r="L80" s="9">
        <f>($F80*$H80)+($F80*$H80*$K80)</f>
        <v>4633.2</v>
      </c>
      <c r="M80" s="9">
        <f>L80/F80</f>
        <v>1.2869999999999999</v>
      </c>
      <c r="N80" s="9">
        <f>IF(J80="Eventualposition",0,($F80*$H80)+($F80*$H80*$K80))</f>
        <v>4633.2</v>
      </c>
    </row>
    <row r="81" spans="1:14">
      <c r="A81" s="19"/>
      <c r="B81" s="39"/>
      <c r="C81" s="40"/>
      <c r="D81" s="39"/>
      <c r="E81" s="39" t="s">
        <v>109</v>
      </c>
      <c r="F81" s="41">
        <v>3600</v>
      </c>
      <c r="G81" s="12" t="s">
        <v>79</v>
      </c>
      <c r="H81" s="12">
        <v>15.16</v>
      </c>
      <c r="I81" s="12" t="s">
        <v>44</v>
      </c>
      <c r="J81" s="11" t="s">
        <v>211</v>
      </c>
      <c r="K81" s="25">
        <v>0.1</v>
      </c>
      <c r="L81" s="17">
        <f>($F81*$H81)+($F81*$H81*$K81)</f>
        <v>60033.599999999999</v>
      </c>
      <c r="M81" s="17">
        <f>L81/F81</f>
        <v>16.675999999999998</v>
      </c>
      <c r="N81" s="17">
        <f>IF(J81="Eventualposition",0,($F81*$H81)+($F81*$H81*$K81))</f>
        <v>60033.599999999999</v>
      </c>
    </row>
    <row r="82" spans="1:14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1">
        <f>SUM(M77:M81)</f>
        <v>125.26300000000002</v>
      </c>
      <c r="N82" s="42"/>
    </row>
    <row r="84" spans="1:14">
      <c r="A84" s="22" t="s">
        <v>110</v>
      </c>
      <c r="B84" s="3" t="s">
        <v>111</v>
      </c>
      <c r="C84" s="3" t="s">
        <v>70</v>
      </c>
      <c r="D84" s="3" t="s">
        <v>112</v>
      </c>
      <c r="E84" s="3" t="s">
        <v>113</v>
      </c>
      <c r="F84" s="3"/>
      <c r="G84" s="3"/>
      <c r="H84" s="3"/>
      <c r="I84" s="3"/>
      <c r="J84" s="3"/>
      <c r="K84" s="3"/>
      <c r="L84" s="3"/>
      <c r="M84" s="43"/>
      <c r="N84" s="43"/>
    </row>
    <row r="85" spans="1:14">
      <c r="A85" s="27"/>
      <c r="B85" s="4"/>
      <c r="C85" s="10" t="s">
        <v>70</v>
      </c>
      <c r="D85" s="4" t="s">
        <v>114</v>
      </c>
      <c r="E85" s="10" t="s">
        <v>115</v>
      </c>
      <c r="F85" s="4">
        <f>$F$86/4000</f>
        <v>5</v>
      </c>
      <c r="G85" s="4" t="s">
        <v>73</v>
      </c>
      <c r="H85" s="4">
        <v>55.98</v>
      </c>
      <c r="I85" s="4" t="s">
        <v>94</v>
      </c>
      <c r="J85" s="4"/>
      <c r="K85" s="8">
        <v>0.1</v>
      </c>
      <c r="L85" s="9">
        <f>($F85*$H85)+($F85*$H85*$K85)</f>
        <v>307.89</v>
      </c>
      <c r="M85" s="9">
        <f>L85/F85</f>
        <v>61.577999999999996</v>
      </c>
      <c r="N85" s="9">
        <f>IF(J84="Eventualposition",0,($F85*$H85)+($F85*$H85*$K85))</f>
        <v>307.89</v>
      </c>
    </row>
    <row r="86" spans="1:14">
      <c r="A86" s="27"/>
      <c r="B86" s="10"/>
      <c r="C86" s="4" t="s">
        <v>70</v>
      </c>
      <c r="D86" s="4" t="s">
        <v>88</v>
      </c>
      <c r="E86" s="4"/>
      <c r="F86" s="28">
        <v>20000</v>
      </c>
      <c r="G86" s="4" t="s">
        <v>79</v>
      </c>
      <c r="H86" s="4">
        <v>0.69</v>
      </c>
      <c r="I86" s="4" t="s">
        <v>44</v>
      </c>
      <c r="J86" s="4"/>
      <c r="K86" s="23">
        <v>0.1</v>
      </c>
      <c r="L86" s="9">
        <f>($F86*$H86)+($F86*$H86*$K86)</f>
        <v>15179.999999999998</v>
      </c>
      <c r="M86" s="9">
        <f>L86/F86</f>
        <v>0.7589999999999999</v>
      </c>
      <c r="N86" s="9">
        <f>IF(J86="Eventualposition",0,($F86*$H86)+($F86*$H86*$K86))</f>
        <v>15179.999999999998</v>
      </c>
    </row>
    <row r="87" spans="1:14">
      <c r="A87" s="27"/>
      <c r="B87" s="10"/>
      <c r="C87" s="4" t="s">
        <v>116</v>
      </c>
      <c r="D87" s="10" t="s">
        <v>117</v>
      </c>
      <c r="E87" s="4" t="s">
        <v>118</v>
      </c>
      <c r="F87" s="4">
        <v>2</v>
      </c>
      <c r="G87" s="4" t="s">
        <v>73</v>
      </c>
      <c r="H87" s="4">
        <v>23.4</v>
      </c>
      <c r="I87" s="4" t="s">
        <v>94</v>
      </c>
      <c r="J87" s="4"/>
      <c r="K87" s="23">
        <v>0.3</v>
      </c>
      <c r="L87" s="9">
        <f>($F87*$H87)+($F87*$H87*$K87)</f>
        <v>60.839999999999996</v>
      </c>
      <c r="M87" s="9">
        <f>L87/F87</f>
        <v>30.419999999999998</v>
      </c>
      <c r="N87" s="9">
        <f t="shared" ref="N87" si="2">IF(J87="Eventualposition",0,($F87*$H87)+($F87*$H87*$K87))</f>
        <v>60.839999999999996</v>
      </c>
    </row>
    <row r="88" spans="1:14">
      <c r="A88" s="27"/>
      <c r="C88" s="4" t="s">
        <v>116</v>
      </c>
      <c r="D88" s="4" t="s">
        <v>96</v>
      </c>
      <c r="E88" s="10" t="s">
        <v>119</v>
      </c>
      <c r="F88" s="4">
        <f>$F$86</f>
        <v>20000</v>
      </c>
      <c r="G88" s="4" t="s">
        <v>79</v>
      </c>
      <c r="H88" s="4">
        <v>0.6</v>
      </c>
      <c r="I88" s="4" t="s">
        <v>44</v>
      </c>
      <c r="J88" s="4"/>
      <c r="K88" s="8">
        <v>0.21</v>
      </c>
      <c r="L88" s="9">
        <f>($F88*$H88)+($F88*$H88*$K88)</f>
        <v>14520</v>
      </c>
      <c r="M88" s="9">
        <f>L88/F88</f>
        <v>0.72599999999999998</v>
      </c>
      <c r="N88" s="9">
        <f>IF(J88="Eventualposition",0,($F88*$H88)+($F88*$H88*$K88))</f>
        <v>14520</v>
      </c>
    </row>
    <row r="89" spans="1:14">
      <c r="A89" s="27"/>
      <c r="B89" s="4"/>
      <c r="C89" s="4" t="s">
        <v>116</v>
      </c>
      <c r="D89" s="4" t="s">
        <v>120</v>
      </c>
      <c r="E89" s="4" t="s">
        <v>121</v>
      </c>
      <c r="F89" s="4">
        <f>$F$85*5</f>
        <v>25</v>
      </c>
      <c r="G89" s="4" t="s">
        <v>67</v>
      </c>
      <c r="H89" s="4">
        <v>48.6</v>
      </c>
      <c r="I89" s="4" t="s">
        <v>68</v>
      </c>
      <c r="J89" s="4"/>
      <c r="K89" s="23">
        <v>0.3</v>
      </c>
      <c r="L89" s="9">
        <f>($F89*$H89)+($F89*$H89*$K89)</f>
        <v>1579.5</v>
      </c>
      <c r="M89" s="9">
        <f>L89/F89</f>
        <v>63.18</v>
      </c>
      <c r="N89" s="9">
        <f>IF(J89="Eventualposition",0,($F89*$H89)+($F89*$H89*$K89))</f>
        <v>1579.5</v>
      </c>
    </row>
    <row r="90" spans="1:14">
      <c r="A90" s="19"/>
      <c r="B90" s="4"/>
      <c r="C90" s="4" t="s">
        <v>116</v>
      </c>
      <c r="D90" s="4" t="s">
        <v>122</v>
      </c>
      <c r="E90" s="10" t="s">
        <v>123</v>
      </c>
      <c r="F90" s="4"/>
      <c r="G90" s="10"/>
      <c r="H90" s="4"/>
      <c r="I90" s="4"/>
      <c r="J90" s="4"/>
      <c r="K90" s="23"/>
      <c r="L90" s="9"/>
      <c r="M90" s="9"/>
      <c r="N90" s="9"/>
    </row>
    <row r="91" spans="1:14">
      <c r="A91" s="27"/>
      <c r="B91" s="4"/>
      <c r="C91" s="4" t="s">
        <v>116</v>
      </c>
      <c r="D91" s="4" t="s">
        <v>124</v>
      </c>
      <c r="E91" s="4" t="s">
        <v>125</v>
      </c>
      <c r="F91" s="28">
        <v>24</v>
      </c>
      <c r="G91" s="4" t="s">
        <v>126</v>
      </c>
      <c r="H91" s="4">
        <v>15</v>
      </c>
      <c r="I91" s="4" t="s">
        <v>19</v>
      </c>
      <c r="J91" s="4"/>
      <c r="K91" s="8"/>
      <c r="L91" s="9">
        <f>($F91*$H91)+($F91*$H91*$K91)</f>
        <v>360</v>
      </c>
      <c r="M91" s="9"/>
      <c r="N91" s="9">
        <f>IF(J91="Eventualposition",0,($F91*$H91)+($F91*$H91*$K91))</f>
        <v>360</v>
      </c>
    </row>
    <row r="92" spans="1:14">
      <c r="A92" s="20"/>
      <c r="B92" s="11"/>
      <c r="C92" s="11"/>
      <c r="D92" s="11"/>
      <c r="E92" s="11" t="s">
        <v>127</v>
      </c>
      <c r="F92" s="41">
        <v>2</v>
      </c>
      <c r="G92" s="11" t="s">
        <v>67</v>
      </c>
      <c r="H92" s="11">
        <v>48.6</v>
      </c>
      <c r="I92" s="11" t="s">
        <v>68</v>
      </c>
      <c r="J92" s="11"/>
      <c r="K92" s="25">
        <v>0.3</v>
      </c>
      <c r="L92" s="17">
        <f>($F92*$H92)+($F92*$H92*$K92)</f>
        <v>126.36</v>
      </c>
      <c r="M92" s="17">
        <f>(SUM(N91:N92))/F91</f>
        <v>20.265000000000001</v>
      </c>
      <c r="N92" s="17">
        <f>IF(J92="Eventualposition",0,($F92*$H92)+($F92*$H92*$K92))</f>
        <v>126.36</v>
      </c>
    </row>
    <row r="93" spans="1:14">
      <c r="A93" s="35"/>
      <c r="B93" s="29"/>
      <c r="C93" s="29"/>
      <c r="D93" s="29"/>
      <c r="E93" s="29"/>
      <c r="F93" s="29"/>
      <c r="G93" s="29"/>
      <c r="H93" s="29"/>
      <c r="I93" s="29"/>
      <c r="J93" s="29"/>
      <c r="K93" s="44"/>
      <c r="L93" s="18"/>
      <c r="M93" s="31">
        <f>SUM(M84:M92)</f>
        <v>176.928</v>
      </c>
      <c r="N93" s="32"/>
    </row>
    <row r="94" spans="1:14">
      <c r="A94" s="19"/>
      <c r="B94" s="4"/>
      <c r="C94" s="4"/>
      <c r="D94" s="4"/>
      <c r="E94" s="4"/>
      <c r="F94" s="4"/>
      <c r="G94" s="4"/>
      <c r="H94" s="4"/>
      <c r="I94" s="4"/>
      <c r="J94" s="4"/>
      <c r="K94" s="23"/>
      <c r="L94" s="21"/>
      <c r="M94" s="21"/>
      <c r="N94" s="9"/>
    </row>
    <row r="95" spans="1:14">
      <c r="A95" s="22" t="s">
        <v>128</v>
      </c>
      <c r="B95" s="3" t="s">
        <v>129</v>
      </c>
      <c r="C95" s="3" t="s">
        <v>70</v>
      </c>
      <c r="D95" s="3" t="s">
        <v>120</v>
      </c>
      <c r="E95" s="3" t="s">
        <v>205</v>
      </c>
      <c r="F95" s="3">
        <v>57</v>
      </c>
      <c r="G95" s="3" t="s">
        <v>130</v>
      </c>
      <c r="H95" s="15">
        <v>294</v>
      </c>
      <c r="I95" s="3" t="s">
        <v>131</v>
      </c>
      <c r="J95" s="3"/>
      <c r="K95" s="5">
        <v>0.1</v>
      </c>
      <c r="L95" s="6">
        <f>($F95*$H95)+($F95*$H95*$K95)</f>
        <v>18433.8</v>
      </c>
      <c r="M95" s="6">
        <f>L95/F95</f>
        <v>323.39999999999998</v>
      </c>
      <c r="N95" s="6">
        <f>IF(J95="Eventualposition",0,($F95*$H95)+($F95*$H95*$K95))</f>
        <v>18433.8</v>
      </c>
    </row>
    <row r="96" spans="1:14">
      <c r="A96" s="27"/>
      <c r="B96" s="4"/>
      <c r="C96" s="4"/>
      <c r="D96" s="4"/>
      <c r="E96" s="10" t="s">
        <v>209</v>
      </c>
      <c r="F96" s="4"/>
      <c r="G96" s="4"/>
      <c r="H96" s="4"/>
      <c r="I96" s="4"/>
      <c r="J96" s="4"/>
      <c r="K96" s="8"/>
      <c r="L96" s="9"/>
      <c r="M96" s="9"/>
      <c r="N96" s="34"/>
    </row>
    <row r="97" spans="1:14">
      <c r="A97" s="19"/>
      <c r="B97" s="4"/>
      <c r="C97" s="4" t="s">
        <v>116</v>
      </c>
      <c r="D97" s="4" t="s">
        <v>120</v>
      </c>
      <c r="E97" s="10" t="s">
        <v>132</v>
      </c>
      <c r="F97" s="4">
        <f>$F$95*3</f>
        <v>171</v>
      </c>
      <c r="G97" s="4" t="s">
        <v>67</v>
      </c>
      <c r="H97" s="4">
        <v>48.6</v>
      </c>
      <c r="I97" s="4" t="s">
        <v>68</v>
      </c>
      <c r="J97" s="4"/>
      <c r="K97" s="23">
        <v>0.33</v>
      </c>
      <c r="L97" s="9">
        <f>($F97*$H97)+($F97*$H97*$K97)</f>
        <v>11053.098</v>
      </c>
      <c r="M97" s="9">
        <f>L97/F95</f>
        <v>193.91399999999999</v>
      </c>
      <c r="N97" s="9">
        <f>IF(J97="Eventualposition",0,($F97*$H97)+($F97*$H97*$K97))</f>
        <v>11053.098</v>
      </c>
    </row>
    <row r="98" spans="1:14">
      <c r="A98" s="45"/>
      <c r="B98" s="12"/>
      <c r="C98" s="11" t="s">
        <v>16</v>
      </c>
      <c r="D98" s="11" t="s">
        <v>133</v>
      </c>
      <c r="E98" s="11" t="s">
        <v>134</v>
      </c>
      <c r="F98" s="11">
        <f>$F$95*2</f>
        <v>114</v>
      </c>
      <c r="G98" s="11" t="s">
        <v>73</v>
      </c>
      <c r="H98" s="11">
        <v>60</v>
      </c>
      <c r="I98" s="11" t="s">
        <v>94</v>
      </c>
      <c r="J98" s="11"/>
      <c r="K98" s="13">
        <v>0.17</v>
      </c>
      <c r="L98" s="17">
        <f>($F98*$H98)+($F98*$H98*$K98)</f>
        <v>8002.8</v>
      </c>
      <c r="M98" s="17">
        <f>L98/F98</f>
        <v>70.2</v>
      </c>
      <c r="N98" s="17">
        <f>IF(J98="Eventualposition",0,($F98*$H98)+($F98*$H98*$K98))</f>
        <v>8002.8</v>
      </c>
    </row>
    <row r="99" spans="1:14">
      <c r="A99" s="46"/>
      <c r="B99" s="46"/>
      <c r="C99" s="29"/>
      <c r="D99" s="29"/>
      <c r="E99" s="29"/>
      <c r="F99" s="29"/>
      <c r="G99" s="29"/>
      <c r="H99" s="29"/>
      <c r="I99" s="29"/>
      <c r="J99" s="29"/>
      <c r="K99" s="30"/>
      <c r="L99" s="18"/>
      <c r="M99" s="31">
        <f>SUM(M95:M98)</f>
        <v>587.51400000000001</v>
      </c>
      <c r="N99" s="32"/>
    </row>
    <row r="101" spans="1:14">
      <c r="A101" s="2" t="s">
        <v>135</v>
      </c>
      <c r="B101" s="3" t="s">
        <v>136</v>
      </c>
      <c r="C101" s="3" t="s">
        <v>70</v>
      </c>
      <c r="D101" s="3" t="s">
        <v>137</v>
      </c>
      <c r="E101" s="3" t="s">
        <v>201</v>
      </c>
      <c r="F101" s="3">
        <v>8</v>
      </c>
      <c r="G101" s="3" t="s">
        <v>130</v>
      </c>
      <c r="H101" s="15">
        <v>525</v>
      </c>
      <c r="I101" s="3" t="s">
        <v>131</v>
      </c>
      <c r="J101" s="3"/>
      <c r="K101" s="5">
        <v>0.1</v>
      </c>
      <c r="L101" s="6">
        <f>($F101*$H101)+($F101*$H101*$K101)</f>
        <v>4620</v>
      </c>
      <c r="M101" s="6">
        <f>L101/F101</f>
        <v>577.5</v>
      </c>
      <c r="N101" s="6">
        <f>IF(J101="Eventualposition",0,($F101*$H101)+($F101*$H101*$K101))</f>
        <v>4620</v>
      </c>
    </row>
    <row r="102" spans="1:14">
      <c r="A102" s="19"/>
      <c r="B102" s="4"/>
      <c r="C102" s="10" t="s">
        <v>116</v>
      </c>
      <c r="D102" s="4" t="s">
        <v>138</v>
      </c>
      <c r="E102" s="10" t="s">
        <v>208</v>
      </c>
      <c r="F102" s="4">
        <f>$F$101*7</f>
        <v>56</v>
      </c>
      <c r="G102" s="4" t="s">
        <v>67</v>
      </c>
      <c r="H102" s="4">
        <v>48.6</v>
      </c>
      <c r="I102" s="4" t="s">
        <v>68</v>
      </c>
      <c r="J102" s="4"/>
      <c r="K102" s="23">
        <v>0.3</v>
      </c>
      <c r="L102" s="9">
        <f>($F102*$H102)+($F102*$H102*$K102)</f>
        <v>3538.08</v>
      </c>
      <c r="M102" s="9">
        <f>L102/F101</f>
        <v>442.26</v>
      </c>
      <c r="N102" s="9">
        <f t="shared" ref="N102" si="3">IF(J102="Eventualposition",0,($F102*$H102)+($F102*$H102*$K102))</f>
        <v>3538.08</v>
      </c>
    </row>
    <row r="103" spans="1:14">
      <c r="A103" s="19"/>
      <c r="B103" s="4"/>
      <c r="C103" s="4" t="s">
        <v>116</v>
      </c>
      <c r="D103" s="4" t="s">
        <v>139</v>
      </c>
      <c r="E103" s="10" t="s">
        <v>215</v>
      </c>
      <c r="F103" s="4">
        <v>6</v>
      </c>
      <c r="G103" s="4" t="s">
        <v>73</v>
      </c>
      <c r="H103" s="4">
        <v>100</v>
      </c>
      <c r="I103" s="4" t="s">
        <v>94</v>
      </c>
      <c r="J103" s="4"/>
      <c r="K103" s="23">
        <v>0.19</v>
      </c>
      <c r="L103" s="9">
        <f>($F103*$H103)+($F103*$H103*$K103)</f>
        <v>714</v>
      </c>
      <c r="M103" s="9">
        <f>L103/F103</f>
        <v>119</v>
      </c>
      <c r="N103" s="9">
        <f>IF(J103="Eventualposition",0,($F103*$H103)+($F103*$H103*$K103))</f>
        <v>714</v>
      </c>
    </row>
    <row r="104" spans="1:14">
      <c r="A104" s="47"/>
      <c r="B104" s="29"/>
      <c r="C104" s="29"/>
      <c r="D104" s="29"/>
      <c r="E104" s="46"/>
      <c r="F104" s="29"/>
      <c r="G104" s="29"/>
      <c r="H104" s="29"/>
      <c r="I104" s="29"/>
      <c r="J104" s="29"/>
      <c r="K104" s="29"/>
      <c r="L104" s="29"/>
      <c r="M104" s="31">
        <f>SUM(M101:M103)</f>
        <v>1138.76</v>
      </c>
      <c r="N104" s="42"/>
    </row>
    <row r="105" spans="1:14">
      <c r="A105" s="19"/>
      <c r="B105" s="4"/>
      <c r="C105" s="4"/>
      <c r="D105" s="4"/>
      <c r="E105" s="4"/>
      <c r="F105" s="4"/>
      <c r="G105" s="4"/>
      <c r="H105" s="4"/>
      <c r="I105" s="4"/>
      <c r="J105" s="4"/>
      <c r="K105" s="23"/>
      <c r="L105" s="21"/>
      <c r="M105" s="21"/>
      <c r="N105" s="21"/>
    </row>
    <row r="106" spans="1:14">
      <c r="A106" s="2" t="s">
        <v>140</v>
      </c>
      <c r="B106" s="48" t="s">
        <v>141</v>
      </c>
      <c r="C106" s="3" t="s">
        <v>16</v>
      </c>
      <c r="D106" s="3" t="s">
        <v>97</v>
      </c>
      <c r="E106" s="3"/>
      <c r="F106" s="3">
        <v>67.5</v>
      </c>
      <c r="G106" s="3" t="s">
        <v>142</v>
      </c>
      <c r="H106" s="3">
        <v>34</v>
      </c>
      <c r="I106" s="3" t="s">
        <v>143</v>
      </c>
      <c r="J106" s="3"/>
      <c r="K106" s="5">
        <v>0.22</v>
      </c>
      <c r="L106" s="6">
        <f>($F106*$H106)+($F106*$H106*$K106)</f>
        <v>2799.9</v>
      </c>
      <c r="M106" s="7">
        <f>L106/F106</f>
        <v>41.480000000000004</v>
      </c>
      <c r="N106" s="6">
        <f>IF(J106="Eventualposition",0,($F106*$H106)+($F106*$H106*$K106))</f>
        <v>2799.9</v>
      </c>
    </row>
    <row r="107" spans="1:14">
      <c r="A107" s="20"/>
      <c r="B107" s="11"/>
      <c r="C107" s="11"/>
      <c r="D107" s="11"/>
      <c r="E107" s="11"/>
      <c r="F107" s="11"/>
      <c r="G107" s="11"/>
      <c r="H107" s="11"/>
      <c r="I107" s="11"/>
      <c r="J107" s="11"/>
      <c r="K107" s="13"/>
      <c r="L107" s="17"/>
      <c r="M107" s="17"/>
      <c r="N107" s="17"/>
    </row>
    <row r="108" spans="1:14">
      <c r="B108" s="4"/>
      <c r="C108" s="4"/>
      <c r="D108" s="4"/>
      <c r="E108" s="4"/>
      <c r="F108" s="4"/>
      <c r="G108" s="4"/>
      <c r="H108" s="4"/>
      <c r="I108" s="4"/>
      <c r="J108" s="4"/>
      <c r="K108" s="8"/>
      <c r="L108" s="18"/>
      <c r="M108" s="18"/>
      <c r="N108" s="18"/>
    </row>
    <row r="109" spans="1:14">
      <c r="A109" s="2" t="s">
        <v>144</v>
      </c>
      <c r="B109" s="3" t="s">
        <v>145</v>
      </c>
      <c r="C109" s="3" t="s">
        <v>16</v>
      </c>
      <c r="D109" s="3" t="s">
        <v>106</v>
      </c>
      <c r="E109" s="3" t="s">
        <v>203</v>
      </c>
      <c r="F109" s="3">
        <v>40</v>
      </c>
      <c r="G109" s="3" t="s">
        <v>142</v>
      </c>
      <c r="H109" s="3">
        <v>79</v>
      </c>
      <c r="I109" s="3" t="s">
        <v>143</v>
      </c>
      <c r="J109" s="3"/>
      <c r="K109" s="5">
        <v>0.22</v>
      </c>
      <c r="L109" s="6">
        <f>($F109*$H109)+($F109*$H109*$K109)</f>
        <v>3855.2</v>
      </c>
      <c r="M109" s="9">
        <f>L109/F109</f>
        <v>96.38</v>
      </c>
      <c r="N109" s="9">
        <f>IF(J109="Eventualposition",0,($F109*$H109)+($F109*$H109*$K109))</f>
        <v>3855.2</v>
      </c>
    </row>
    <row r="110" spans="1:14">
      <c r="A110" s="19"/>
      <c r="B110" s="4"/>
      <c r="C110" s="10"/>
      <c r="D110" s="4"/>
      <c r="E110" s="4"/>
      <c r="F110" s="4"/>
      <c r="G110" s="4"/>
      <c r="H110" s="4"/>
      <c r="I110" s="4"/>
      <c r="J110" s="10"/>
      <c r="K110" s="23"/>
      <c r="L110" s="9"/>
      <c r="M110" s="9"/>
      <c r="N110" s="9"/>
    </row>
    <row r="111" spans="1:14">
      <c r="A111" s="20"/>
      <c r="B111" s="11"/>
      <c r="C111" s="11"/>
      <c r="D111" s="11"/>
      <c r="E111" s="11"/>
      <c r="F111" s="11"/>
      <c r="G111" s="11"/>
      <c r="H111" s="11"/>
      <c r="I111" s="11"/>
      <c r="J111" s="11"/>
      <c r="K111" s="13"/>
      <c r="L111" s="17"/>
      <c r="M111" s="17"/>
      <c r="N111" s="17"/>
    </row>
    <row r="113" spans="1:14">
      <c r="A113" s="22" t="s">
        <v>146</v>
      </c>
      <c r="B113" s="3" t="s">
        <v>147</v>
      </c>
      <c r="C113" s="3" t="s">
        <v>16</v>
      </c>
      <c r="D113" s="3" t="s">
        <v>148</v>
      </c>
      <c r="E113" s="3" t="s">
        <v>149</v>
      </c>
      <c r="F113" s="3">
        <v>20</v>
      </c>
      <c r="G113" s="3" t="s">
        <v>142</v>
      </c>
      <c r="H113" s="3">
        <v>73</v>
      </c>
      <c r="I113" s="3" t="s">
        <v>143</v>
      </c>
      <c r="J113" s="3"/>
      <c r="K113" s="5">
        <v>0.2</v>
      </c>
      <c r="L113" s="6">
        <f>($F113*$H113)+($F113*$H113*$K113)</f>
        <v>1752</v>
      </c>
      <c r="M113" s="7">
        <f>L113/F113</f>
        <v>87.6</v>
      </c>
      <c r="N113" s="6">
        <f>IF(J113="Eventualposition",0,($F113*$H113)+($F113*$H113*$K113))</f>
        <v>1752</v>
      </c>
    </row>
    <row r="114" spans="1:14">
      <c r="A114" s="19"/>
      <c r="B114" s="4" t="s">
        <v>141</v>
      </c>
      <c r="C114" s="4"/>
      <c r="D114" s="4"/>
      <c r="E114" s="4" t="s">
        <v>150</v>
      </c>
      <c r="F114" s="4"/>
      <c r="G114" s="4"/>
      <c r="H114" s="4"/>
      <c r="I114" s="4"/>
      <c r="J114" s="4"/>
      <c r="K114" s="8"/>
      <c r="L114" s="9"/>
      <c r="M114" s="9"/>
      <c r="N114" s="9"/>
    </row>
    <row r="115" spans="1:14">
      <c r="A115" s="20"/>
      <c r="B115" s="24"/>
      <c r="C115" s="11"/>
      <c r="D115" s="11"/>
      <c r="E115" s="11" t="s">
        <v>202</v>
      </c>
      <c r="F115" s="11"/>
      <c r="G115" s="11"/>
      <c r="H115" s="11"/>
      <c r="I115" s="11"/>
      <c r="J115" s="11"/>
      <c r="K115" s="13"/>
      <c r="L115" s="17"/>
      <c r="M115" s="17"/>
      <c r="N115" s="17"/>
    </row>
    <row r="116" spans="1:14">
      <c r="B116" s="39"/>
      <c r="C116" s="4"/>
      <c r="D116" s="4"/>
      <c r="E116" s="4"/>
      <c r="F116" s="4"/>
      <c r="G116" s="4"/>
      <c r="H116" s="4"/>
      <c r="I116" s="4"/>
      <c r="J116" s="4"/>
      <c r="K116" s="8"/>
      <c r="L116" s="9"/>
      <c r="M116" s="9"/>
      <c r="N116" s="9"/>
    </row>
    <row r="117" spans="1:14">
      <c r="A117" s="22" t="s">
        <v>151</v>
      </c>
      <c r="B117" s="48" t="s">
        <v>152</v>
      </c>
      <c r="C117" s="3" t="s">
        <v>16</v>
      </c>
      <c r="D117" s="3" t="s">
        <v>153</v>
      </c>
      <c r="E117" s="3"/>
      <c r="F117" s="3">
        <v>5</v>
      </c>
      <c r="G117" s="3" t="s">
        <v>73</v>
      </c>
      <c r="H117" s="3">
        <v>81</v>
      </c>
      <c r="I117" s="3" t="s">
        <v>94</v>
      </c>
      <c r="J117" s="3"/>
      <c r="K117" s="5">
        <v>0.22</v>
      </c>
      <c r="L117" s="6">
        <f>($F117*$H117)+($F117*$H117*$K117)</f>
        <v>494.1</v>
      </c>
      <c r="M117" s="7">
        <f>L117/F117</f>
        <v>98.820000000000007</v>
      </c>
      <c r="N117" s="6">
        <f>IF(J117="Eventualposition",0,($F117*$H117)+($F117*$H117*$K117))</f>
        <v>494.1</v>
      </c>
    </row>
    <row r="118" spans="1:14">
      <c r="A118" s="20"/>
      <c r="B118" s="49" t="s">
        <v>154</v>
      </c>
      <c r="C118" s="11"/>
      <c r="D118" s="11"/>
      <c r="E118" s="11"/>
      <c r="F118" s="11"/>
      <c r="G118" s="11"/>
      <c r="H118" s="11"/>
      <c r="I118" s="11"/>
      <c r="J118" s="11"/>
      <c r="K118" s="13"/>
      <c r="L118" s="17"/>
      <c r="M118" s="17"/>
      <c r="N118" s="17"/>
    </row>
    <row r="120" spans="1:14">
      <c r="A120" s="22" t="s">
        <v>155</v>
      </c>
      <c r="B120" s="3" t="s">
        <v>152</v>
      </c>
      <c r="C120" s="3" t="s">
        <v>16</v>
      </c>
      <c r="D120" s="3" t="s">
        <v>153</v>
      </c>
      <c r="E120" s="3" t="s">
        <v>156</v>
      </c>
      <c r="F120" s="3">
        <v>30</v>
      </c>
      <c r="G120" s="3" t="s">
        <v>73</v>
      </c>
      <c r="H120" s="3">
        <v>62.2</v>
      </c>
      <c r="I120" s="3" t="s">
        <v>94</v>
      </c>
      <c r="J120" s="3"/>
      <c r="K120" s="5">
        <v>0.2</v>
      </c>
      <c r="L120" s="6">
        <f>($F120*$H120)+($F120*$H120*$K120)</f>
        <v>2239.1999999999998</v>
      </c>
      <c r="M120" s="7">
        <f>L120/F120</f>
        <v>74.64</v>
      </c>
      <c r="N120" s="6">
        <f>IF(J120="Eventualposition",0,($F120*$H120)+($F120*$H120*$K120))</f>
        <v>2239.1999999999998</v>
      </c>
    </row>
    <row r="121" spans="1:14">
      <c r="A121" s="19"/>
      <c r="B121" s="4" t="s">
        <v>157</v>
      </c>
      <c r="C121" s="4"/>
      <c r="D121" s="4"/>
      <c r="E121" s="4" t="s">
        <v>158</v>
      </c>
      <c r="F121" s="4"/>
      <c r="G121" s="4"/>
      <c r="H121" s="4"/>
      <c r="I121" s="4"/>
      <c r="J121" s="4"/>
      <c r="K121" s="8"/>
      <c r="L121" s="9"/>
      <c r="M121" s="9"/>
      <c r="N121" s="9"/>
    </row>
    <row r="122" spans="1:14">
      <c r="A122" s="20"/>
      <c r="B122" s="24"/>
      <c r="C122" s="11"/>
      <c r="D122" s="11"/>
      <c r="E122" s="11"/>
      <c r="F122" s="11"/>
      <c r="G122" s="11"/>
      <c r="H122" s="11"/>
      <c r="I122" s="11"/>
      <c r="J122" s="11"/>
      <c r="K122" s="13"/>
      <c r="L122" s="9"/>
      <c r="M122" s="9"/>
      <c r="N122" s="9"/>
    </row>
    <row r="123" spans="1:14">
      <c r="B123" s="4"/>
      <c r="C123" s="4"/>
      <c r="D123" s="4"/>
      <c r="E123" s="4"/>
      <c r="F123" s="4"/>
      <c r="G123" s="4"/>
      <c r="H123" s="4"/>
      <c r="I123" s="4"/>
      <c r="J123" s="4"/>
      <c r="K123" s="8"/>
      <c r="L123" s="14"/>
      <c r="M123" s="14"/>
      <c r="N123" s="14"/>
    </row>
    <row r="124" spans="1:14">
      <c r="A124" s="22" t="s">
        <v>159</v>
      </c>
      <c r="B124" s="3" t="s">
        <v>160</v>
      </c>
      <c r="C124" s="3"/>
      <c r="D124" s="3"/>
      <c r="E124" s="15" t="s">
        <v>161</v>
      </c>
      <c r="F124" s="3"/>
      <c r="G124" s="3"/>
      <c r="H124" s="3"/>
      <c r="I124" s="3"/>
      <c r="J124" s="3"/>
      <c r="K124" s="5"/>
      <c r="L124" s="6"/>
      <c r="M124" s="6"/>
      <c r="N124" s="6"/>
    </row>
    <row r="125" spans="1:14">
      <c r="A125" s="20"/>
      <c r="B125" s="11" t="s">
        <v>162</v>
      </c>
      <c r="C125" s="11" t="s">
        <v>16</v>
      </c>
      <c r="D125" s="11" t="s">
        <v>163</v>
      </c>
      <c r="E125" s="11" t="s">
        <v>164</v>
      </c>
      <c r="F125" s="11">
        <v>50</v>
      </c>
      <c r="G125" s="11" t="s">
        <v>165</v>
      </c>
      <c r="H125" s="11">
        <v>1.3</v>
      </c>
      <c r="I125" s="11" t="s">
        <v>166</v>
      </c>
      <c r="J125" s="12"/>
      <c r="K125" s="13">
        <v>0.2</v>
      </c>
      <c r="L125" s="17">
        <f>($F125*$H125)+($F125*$H125*$K125)</f>
        <v>78</v>
      </c>
      <c r="M125" s="17">
        <f>L125/F125</f>
        <v>1.56</v>
      </c>
      <c r="N125" s="17">
        <f>IF(J125="Eventualposition",0,($F125*$H125)+($F125*$H125*$K125))</f>
        <v>78</v>
      </c>
    </row>
    <row r="127" spans="1:14">
      <c r="A127" s="22" t="s">
        <v>167</v>
      </c>
      <c r="B127" s="3" t="s">
        <v>152</v>
      </c>
      <c r="C127" s="3" t="s">
        <v>16</v>
      </c>
      <c r="D127" s="3" t="s">
        <v>168</v>
      </c>
      <c r="E127" s="3" t="s">
        <v>169</v>
      </c>
      <c r="F127" s="3">
        <v>1</v>
      </c>
      <c r="G127" s="3" t="s">
        <v>18</v>
      </c>
      <c r="H127" s="3">
        <v>1560</v>
      </c>
      <c r="I127" s="3" t="s">
        <v>19</v>
      </c>
      <c r="J127" s="3"/>
      <c r="K127" s="5">
        <v>0.2</v>
      </c>
      <c r="L127" s="6">
        <f>($F127*$H127)+($F127*$H127*$K127)</f>
        <v>1872</v>
      </c>
      <c r="M127" s="7">
        <f>L127/F127</f>
        <v>1872</v>
      </c>
      <c r="N127" s="6">
        <f>($F127*$H127)+($F127*$H127*$K127)</f>
        <v>1872</v>
      </c>
    </row>
    <row r="128" spans="1:14">
      <c r="A128" s="19"/>
      <c r="B128" s="4" t="s">
        <v>170</v>
      </c>
      <c r="C128" s="4"/>
      <c r="D128" s="4"/>
      <c r="E128" s="4" t="s">
        <v>171</v>
      </c>
      <c r="F128" s="4"/>
      <c r="G128" s="4"/>
      <c r="H128" s="4"/>
      <c r="I128" s="4"/>
      <c r="J128" s="4"/>
      <c r="K128" s="8"/>
      <c r="L128" s="9"/>
      <c r="M128" s="9"/>
      <c r="N128" s="9"/>
    </row>
    <row r="129" spans="1:39">
      <c r="A129" s="20"/>
      <c r="B129" s="24"/>
      <c r="C129" s="11"/>
      <c r="D129" s="11"/>
      <c r="E129" s="11" t="s">
        <v>172</v>
      </c>
      <c r="F129" s="11"/>
      <c r="G129" s="11"/>
      <c r="H129" s="11"/>
      <c r="I129" s="11"/>
      <c r="J129" s="11"/>
      <c r="K129" s="13"/>
      <c r="L129" s="17"/>
      <c r="M129" s="17"/>
      <c r="N129" s="17"/>
    </row>
    <row r="131" spans="1:39">
      <c r="A131" s="22" t="s">
        <v>173</v>
      </c>
      <c r="B131" s="3" t="s">
        <v>174</v>
      </c>
      <c r="C131" s="3" t="s">
        <v>16</v>
      </c>
      <c r="D131" s="3" t="s">
        <v>175</v>
      </c>
      <c r="E131" s="50" t="s">
        <v>176</v>
      </c>
      <c r="F131" s="26">
        <v>50</v>
      </c>
      <c r="G131" s="26" t="s">
        <v>142</v>
      </c>
      <c r="H131" s="26">
        <v>15.9</v>
      </c>
      <c r="I131" s="26" t="s">
        <v>143</v>
      </c>
      <c r="J131" s="3" t="s">
        <v>177</v>
      </c>
      <c r="K131" s="5">
        <v>0.22</v>
      </c>
      <c r="L131" s="6">
        <f>($F131*$H131)+($F131*$H131*$K131)</f>
        <v>969.9</v>
      </c>
      <c r="M131" s="7"/>
      <c r="N131" s="9">
        <f>IF(J131="Eventualposition",0,($F131*$H131)+($F131*$H131*$K131))</f>
        <v>969.9</v>
      </c>
    </row>
    <row r="132" spans="1:39">
      <c r="A132" s="19"/>
      <c r="B132" s="39"/>
      <c r="C132" s="4" t="s">
        <v>70</v>
      </c>
      <c r="D132" s="4"/>
      <c r="E132" s="51" t="s">
        <v>178</v>
      </c>
      <c r="F132" s="4">
        <v>100</v>
      </c>
      <c r="G132" s="4" t="s">
        <v>179</v>
      </c>
      <c r="H132" s="4">
        <v>10.31</v>
      </c>
      <c r="I132" s="4" t="s">
        <v>180</v>
      </c>
      <c r="J132" s="4" t="s">
        <v>174</v>
      </c>
      <c r="K132" s="23">
        <v>0.32</v>
      </c>
      <c r="L132" s="9">
        <f>($F132*$H132)+($F132*$H132*$K132)</f>
        <v>1360.92</v>
      </c>
      <c r="M132" s="9">
        <f>L131/F131+L132/F132</f>
        <v>33.007199999999997</v>
      </c>
      <c r="N132" s="9">
        <f>IF(J132="Eventualposition",0,($F132*$H132)+($F132*$H132*$K132))</f>
        <v>1360.92</v>
      </c>
    </row>
    <row r="133" spans="1:39">
      <c r="A133" s="19"/>
      <c r="B133" s="4"/>
      <c r="C133" s="4"/>
      <c r="D133" s="4"/>
      <c r="E133" s="51"/>
      <c r="F133" s="4"/>
      <c r="G133" s="4"/>
      <c r="H133" s="4"/>
      <c r="I133" s="4"/>
      <c r="J133" s="4"/>
      <c r="K133" s="8"/>
      <c r="L133" s="9"/>
      <c r="M133" s="9"/>
      <c r="N133" s="9"/>
    </row>
    <row r="134" spans="1:39">
      <c r="A134" s="29"/>
      <c r="B134" s="29"/>
      <c r="C134" s="29"/>
      <c r="D134" s="29"/>
      <c r="E134" s="52"/>
      <c r="F134" s="29"/>
      <c r="G134" s="29"/>
      <c r="H134" s="29"/>
      <c r="I134" s="29"/>
      <c r="J134" s="29"/>
      <c r="K134" s="30"/>
      <c r="L134" s="18"/>
      <c r="M134" s="31">
        <f>M132</f>
        <v>33.007199999999997</v>
      </c>
      <c r="N134" s="32"/>
    </row>
    <row r="135" spans="1:39">
      <c r="K135" s="1"/>
      <c r="L135" s="16"/>
      <c r="M135" s="16"/>
      <c r="N135" s="16"/>
    </row>
    <row r="136" spans="1:39">
      <c r="A136" s="22" t="s">
        <v>181</v>
      </c>
      <c r="B136" s="3" t="s">
        <v>182</v>
      </c>
      <c r="C136" s="3" t="s">
        <v>23</v>
      </c>
      <c r="D136" s="3" t="s">
        <v>183</v>
      </c>
      <c r="E136" s="3" t="s">
        <v>184</v>
      </c>
      <c r="F136" s="3">
        <v>1</v>
      </c>
      <c r="G136" s="3" t="s">
        <v>18</v>
      </c>
      <c r="H136" s="3">
        <v>3000</v>
      </c>
      <c r="I136" s="3" t="s">
        <v>19</v>
      </c>
      <c r="J136" s="3"/>
      <c r="K136" s="5">
        <v>0.1</v>
      </c>
      <c r="L136" s="6">
        <f>($F136*$H136)+($F136*$H136*$K136)</f>
        <v>3300</v>
      </c>
      <c r="M136" s="9">
        <f>L136/F136</f>
        <v>3300</v>
      </c>
      <c r="N136" s="9">
        <f>IF(J136="Eventualposition",0,($F136*$H136)+($F136*$H136*$K136))</f>
        <v>3300</v>
      </c>
    </row>
    <row r="137" spans="1:39">
      <c r="A137" s="19"/>
      <c r="B137" s="39" t="s">
        <v>185</v>
      </c>
      <c r="C137" s="4" t="s">
        <v>70</v>
      </c>
      <c r="D137" s="4" t="s">
        <v>186</v>
      </c>
      <c r="E137" s="53" t="s">
        <v>187</v>
      </c>
      <c r="F137" s="4">
        <v>100</v>
      </c>
      <c r="G137" s="10" t="s">
        <v>179</v>
      </c>
      <c r="H137" s="4">
        <v>10</v>
      </c>
      <c r="I137" s="4" t="s">
        <v>180</v>
      </c>
      <c r="J137" s="4"/>
      <c r="K137" s="23">
        <v>0.12</v>
      </c>
      <c r="L137" s="9">
        <f>($F137*$H137)+($F137*$H137*$K137)</f>
        <v>1120</v>
      </c>
      <c r="M137" s="9">
        <f>L137/F137</f>
        <v>11.2</v>
      </c>
      <c r="N137" s="9">
        <f>IF(J137="Eventualposition",0,($F137*$H137)+($F137*$H137*$K137))</f>
        <v>1120</v>
      </c>
    </row>
    <row r="138" spans="1:39">
      <c r="A138" s="19"/>
      <c r="B138" s="4"/>
      <c r="C138" s="4"/>
      <c r="D138" s="4"/>
      <c r="E138" s="4" t="s">
        <v>188</v>
      </c>
      <c r="F138" s="4"/>
      <c r="G138" s="4"/>
      <c r="H138" s="4"/>
      <c r="I138" s="4"/>
      <c r="J138" s="4"/>
      <c r="K138" s="8"/>
      <c r="L138" s="9"/>
      <c r="M138" s="9"/>
      <c r="N138" s="9"/>
    </row>
    <row r="139" spans="1:39">
      <c r="A139" s="35"/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18"/>
      <c r="M139" s="31">
        <f>SUM(M136:M138)</f>
        <v>3311.2</v>
      </c>
      <c r="N139" s="32"/>
    </row>
    <row r="140" spans="1:39">
      <c r="K140" s="1"/>
      <c r="L140" s="16"/>
      <c r="M140" s="16"/>
      <c r="N140" s="16"/>
    </row>
    <row r="141" spans="1:39">
      <c r="A141" s="22" t="s">
        <v>189</v>
      </c>
      <c r="B141" s="3" t="s">
        <v>190</v>
      </c>
      <c r="C141" s="3" t="s">
        <v>70</v>
      </c>
      <c r="D141" s="3" t="s">
        <v>191</v>
      </c>
      <c r="E141" s="50" t="s">
        <v>176</v>
      </c>
      <c r="F141" s="3">
        <v>100</v>
      </c>
      <c r="G141" s="3" t="s">
        <v>179</v>
      </c>
      <c r="H141" s="3">
        <v>2.85</v>
      </c>
      <c r="I141" s="3" t="s">
        <v>180</v>
      </c>
      <c r="J141" s="3"/>
      <c r="K141" s="5">
        <v>0.12</v>
      </c>
      <c r="L141" s="6">
        <f>($F141*$H141)+($F141*$H141*$K141)</f>
        <v>319.2</v>
      </c>
      <c r="M141" s="9">
        <f>L141/F141</f>
        <v>3.1919999999999997</v>
      </c>
      <c r="N141" s="9">
        <f>IF(J141="Eventualposition",0,($F141*$H141)+($F141*$H141*$K141))</f>
        <v>319.2</v>
      </c>
    </row>
    <row r="142" spans="1:39">
      <c r="A142" s="19"/>
      <c r="B142" s="39" t="s">
        <v>185</v>
      </c>
      <c r="C142" s="10" t="s">
        <v>16</v>
      </c>
      <c r="D142" s="10" t="s">
        <v>192</v>
      </c>
      <c r="E142" s="51" t="s">
        <v>193</v>
      </c>
      <c r="F142" s="10">
        <v>20</v>
      </c>
      <c r="G142" s="10" t="s">
        <v>67</v>
      </c>
      <c r="H142" s="10">
        <v>48.6</v>
      </c>
      <c r="I142" s="10" t="s">
        <v>68</v>
      </c>
      <c r="J142" s="4"/>
      <c r="K142" s="23">
        <v>0.11</v>
      </c>
      <c r="L142" s="9">
        <f>($F142*$H142)+($F142*$H142*$K142)</f>
        <v>1078.92</v>
      </c>
      <c r="M142" s="9">
        <f>L142/F142</f>
        <v>53.946000000000005</v>
      </c>
      <c r="N142" s="9">
        <f>IF(J142="Eventualposition",0,($F142*$H142)+($F142*$H142*$K142))</f>
        <v>1078.92</v>
      </c>
    </row>
    <row r="143" spans="1:39">
      <c r="A143" s="19"/>
      <c r="B143" s="4"/>
      <c r="C143" s="4"/>
      <c r="D143" s="4"/>
      <c r="E143" s="4"/>
      <c r="F143" s="4"/>
      <c r="G143" s="4"/>
      <c r="H143" s="4"/>
      <c r="I143" s="4"/>
      <c r="J143" s="4"/>
      <c r="K143" s="8"/>
      <c r="L143" s="9"/>
      <c r="M143" s="9"/>
      <c r="N143" s="9"/>
    </row>
    <row r="144" spans="1:39" s="29" customFormat="1">
      <c r="K144" s="30"/>
      <c r="L144" s="18"/>
      <c r="M144" s="31">
        <f>SUM(M141:M143)</f>
        <v>57.138000000000005</v>
      </c>
      <c r="N144" s="5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</row>
    <row r="147" spans="1:14">
      <c r="A147" t="s">
        <v>9</v>
      </c>
    </row>
    <row r="149" spans="1:14">
      <c r="A149" t="s">
        <v>1</v>
      </c>
      <c r="B149" t="s">
        <v>2</v>
      </c>
      <c r="C149" t="s">
        <v>3</v>
      </c>
      <c r="D149" t="s">
        <v>4</v>
      </c>
      <c r="E149" t="s">
        <v>5</v>
      </c>
      <c r="F149" t="s">
        <v>6</v>
      </c>
      <c r="G149" t="s">
        <v>7</v>
      </c>
      <c r="H149" t="s">
        <v>8</v>
      </c>
      <c r="I149" t="s">
        <v>7</v>
      </c>
      <c r="J149" t="s">
        <v>9</v>
      </c>
      <c r="K149" s="1" t="s">
        <v>10</v>
      </c>
      <c r="L149" t="s">
        <v>11</v>
      </c>
      <c r="M149" t="s">
        <v>12</v>
      </c>
      <c r="N149" t="s">
        <v>13</v>
      </c>
    </row>
    <row r="150" spans="1:14">
      <c r="A150" s="22" t="s">
        <v>194</v>
      </c>
      <c r="B150" s="3" t="s">
        <v>195</v>
      </c>
      <c r="C150" s="3" t="s">
        <v>70</v>
      </c>
      <c r="D150" s="3" t="s">
        <v>196</v>
      </c>
      <c r="E150" s="3"/>
      <c r="F150" s="3">
        <v>4</v>
      </c>
      <c r="G150" s="3" t="s">
        <v>73</v>
      </c>
      <c r="H150" s="3">
        <v>71.8</v>
      </c>
      <c r="I150" s="3" t="s">
        <v>19</v>
      </c>
      <c r="J150" s="3"/>
      <c r="K150" s="5">
        <v>0.1</v>
      </c>
      <c r="L150" s="6">
        <f>($F150*$H150)+($F150*$H150*$K150)</f>
        <v>315.91999999999996</v>
      </c>
      <c r="M150" s="7">
        <f>L150/F150</f>
        <v>78.97999999999999</v>
      </c>
      <c r="N150" s="6">
        <f t="shared" ref="N150:N151" si="4">IF(J150="Eventualposition",0,($F150*$H150)+($F150*$H150*$K150))</f>
        <v>315.91999999999996</v>
      </c>
    </row>
    <row r="151" spans="1:14">
      <c r="A151" s="19"/>
      <c r="B151" s="39"/>
      <c r="C151" s="4" t="s">
        <v>70</v>
      </c>
      <c r="D151" s="4" t="s">
        <v>197</v>
      </c>
      <c r="E151" s="4"/>
      <c r="F151" s="4">
        <v>4</v>
      </c>
      <c r="G151" s="4" t="s">
        <v>73</v>
      </c>
      <c r="H151" s="4">
        <v>59.5</v>
      </c>
      <c r="I151" s="4" t="s">
        <v>19</v>
      </c>
      <c r="J151" s="4"/>
      <c r="K151" s="8">
        <v>0.1</v>
      </c>
      <c r="L151" s="9">
        <f>($F151*$H151)+($F151*$H151*$K151)</f>
        <v>261.8</v>
      </c>
      <c r="M151" s="9">
        <f>L151/F151</f>
        <v>65.45</v>
      </c>
      <c r="N151" s="9">
        <f t="shared" si="4"/>
        <v>261.8</v>
      </c>
    </row>
    <row r="152" spans="1:14">
      <c r="A152" s="27"/>
      <c r="B152" s="4" t="s">
        <v>198</v>
      </c>
      <c r="C152" s="4" t="s">
        <v>70</v>
      </c>
      <c r="D152" s="4"/>
      <c r="E152" s="4"/>
      <c r="F152" s="4">
        <v>4</v>
      </c>
      <c r="G152" s="4" t="s">
        <v>73</v>
      </c>
      <c r="H152" s="4">
        <v>55</v>
      </c>
      <c r="I152" s="4" t="s">
        <v>19</v>
      </c>
      <c r="J152" s="4"/>
      <c r="K152" s="8">
        <v>0.1</v>
      </c>
      <c r="L152" s="9">
        <f>($F152*$H152)+($F152*$H152*$K152)</f>
        <v>242</v>
      </c>
      <c r="M152" s="34">
        <f>L152/F152</f>
        <v>60.5</v>
      </c>
      <c r="N152" s="9">
        <f>IF(J152="Eventualposition",0,($F152*$H152)+($F152*$H152*$K152))</f>
        <v>242</v>
      </c>
    </row>
    <row r="153" spans="1:14">
      <c r="A153" s="39"/>
      <c r="B153" s="4"/>
      <c r="C153" s="4" t="s">
        <v>116</v>
      </c>
      <c r="D153" s="4"/>
      <c r="E153" s="4"/>
      <c r="F153" s="4">
        <v>1</v>
      </c>
      <c r="G153" s="4" t="s">
        <v>67</v>
      </c>
      <c r="H153" s="4">
        <v>48.6</v>
      </c>
      <c r="I153" s="4" t="s">
        <v>68</v>
      </c>
      <c r="J153" s="4"/>
      <c r="K153" s="8">
        <v>0.3</v>
      </c>
      <c r="L153" s="9">
        <f>($F153*$H153)+($F153*$H153*$K153)</f>
        <v>63.18</v>
      </c>
      <c r="M153" s="9">
        <f>L153/F153</f>
        <v>63.18</v>
      </c>
      <c r="N153" s="9">
        <f t="shared" ref="N153" si="5">IF(J153="Eventualposition",0,($F153*$H153)+($F153*$H153*$K153))</f>
        <v>63.18</v>
      </c>
    </row>
    <row r="154" spans="1:14">
      <c r="A154" s="29"/>
      <c r="B154" s="55"/>
      <c r="C154" s="29"/>
      <c r="D154" s="29"/>
      <c r="E154" s="29"/>
      <c r="F154" s="29"/>
      <c r="G154" s="29"/>
      <c r="H154" s="29"/>
      <c r="I154" s="29"/>
      <c r="J154" s="29"/>
      <c r="K154" s="30"/>
      <c r="L154" s="18"/>
      <c r="M154" s="31">
        <f>SUM(M150:M153)</f>
        <v>268.11</v>
      </c>
      <c r="N154" s="54"/>
    </row>
    <row r="156" spans="1:14">
      <c r="A156" s="22" t="s">
        <v>199</v>
      </c>
      <c r="B156" s="3" t="s">
        <v>200</v>
      </c>
      <c r="C156" s="3"/>
      <c r="D156" s="3"/>
      <c r="E156" s="3"/>
      <c r="F156" s="3">
        <v>1</v>
      </c>
      <c r="G156" s="3" t="s">
        <v>18</v>
      </c>
      <c r="H156" s="3">
        <v>1500</v>
      </c>
      <c r="I156" s="3" t="s">
        <v>19</v>
      </c>
      <c r="J156" s="3"/>
      <c r="K156" s="5">
        <v>0.1</v>
      </c>
      <c r="L156" s="6">
        <f>($F156*$H156)+($F156*$H156*$K156)</f>
        <v>1650</v>
      </c>
      <c r="M156" s="7">
        <f>L156/F156</f>
        <v>1650</v>
      </c>
      <c r="N156" s="6">
        <f>IF(J156="Eventualposition",0,($F156*$H156)+($F156*$H156*$K156))</f>
        <v>1650</v>
      </c>
    </row>
    <row r="157" spans="1:14">
      <c r="A157" s="56"/>
      <c r="B157" s="24"/>
      <c r="C157" s="11"/>
      <c r="D157" s="11"/>
      <c r="E157" s="11"/>
      <c r="F157" s="11"/>
      <c r="G157" s="11"/>
      <c r="H157" s="11"/>
      <c r="I157" s="11"/>
      <c r="J157" s="11"/>
      <c r="K157" s="13"/>
      <c r="L157" s="17"/>
      <c r="M157" s="17"/>
      <c r="N157" s="17"/>
    </row>
    <row r="159" spans="1:14">
      <c r="L159" s="57">
        <f>SUM(L5:L158)</f>
        <v>3737447.0280000004</v>
      </c>
      <c r="M159" s="57">
        <f>SUM(M9:M158)</f>
        <v>32267.031599999998</v>
      </c>
      <c r="N159" s="57">
        <f>SUM(N9:N158)</f>
        <v>3732447.0280000004</v>
      </c>
    </row>
  </sheetData>
  <sheetProtection password="EE37" sheet="1" objects="1" scenarios="1"/>
  <conditionalFormatting sqref="L101:N103 M57:M62 L65:N74 L77:N81 L57:L63 N57:N63 L85:L99 N85:N99 M85:M92 M94:M98 L5:N41 L43:N45 L47:N49 M51:M52 L51:L53 N51:N53 L105:N111 L113:N118 L127:N129 L120:N125 L131:L144 N131:N144 M131:M133 M135:M138 M140:M143 L150:L154 N150:N154 M150:M153">
    <cfRule type="cellIs" dxfId="3" priority="3" operator="greaterThan">
      <formula>1</formula>
    </cfRule>
    <cfRule type="cellIs" dxfId="2" priority="4" operator="greaterThan">
      <formula>20</formula>
    </cfRule>
  </conditionalFormatting>
  <conditionalFormatting sqref="L156:N157">
    <cfRule type="cellIs" dxfId="1" priority="1" operator="greaterThan">
      <formula>1</formula>
    </cfRule>
    <cfRule type="cellIs" dxfId="0" priority="2" operator="greaterThan">
      <formula>20</formula>
    </cfRule>
  </conditionalFormatting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2013-03-02T11:46:15Z</dcterms:modified>
</cp:coreProperties>
</file>